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信息" sheetId="1" r:id="rId1"/>
  </sheets>
  <definedNames>
    <definedName name="_xlnm._FilterDatabase" localSheetId="0" hidden="1">信息!$A$1:$J$1602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<sst xmlns="http://schemas.openxmlformats.org/spreadsheetml/2006/main" count="12820" uniqueCount="2371">
  <si>
    <t>序号</t>
  </si>
  <si>
    <t>标题</t>
  </si>
  <si>
    <t>发布时间</t>
  </si>
  <si>
    <t>来源网站</t>
  </si>
  <si>
    <t>作者</t>
  </si>
  <si>
    <t>媒体类型</t>
  </si>
  <si>
    <t>发布者性质</t>
  </si>
  <si>
    <t>URL</t>
  </si>
  <si>
    <t>摘要</t>
  </si>
  <si>
    <t>下功夫，做示范！打造技能型高校的“国家队”！这一推进会引发热烈反响</t>
  </si>
  <si>
    <t>2025-12-23 13:36:14</t>
  </si>
  <si>
    <t>今日头条</t>
  </si>
  <si>
    <t>新华网</t>
  </si>
  <si>
    <t>网媒</t>
  </si>
  <si>
    <t>新闻媒体（中央）,官方</t>
  </si>
  <si>
    <t>12月16日，第二期“双高建设计划”暨职业教育综合改革试点推进会在广州召开，校长叶智锐分享道核心技能培养是南铁院的立校之本，学校以 建设工程为核心，系统推进五金关键要素联动改革，培养一专多能复合型轨道交通数智工匠，院长管锋表示武汉船院以兴船报国育英才为育人使命，学校在双高建设期，将围绕绿色船舶设计、智能航运装备、低碳动力技术等新兴领域，深入推进课程内容与职业标准、教学过程与生产过程对接，将 的愿</t>
  </si>
  <si>
    <t xml:space="preserve"> </t>
  </si>
  <si>
    <t>临港高校“她力量”联盟成立</t>
  </si>
  <si>
    <t>2025-12-22 10:12:12</t>
  </si>
  <si>
    <t>网易号</t>
  </si>
  <si>
    <t>上观新闻</t>
  </si>
  <si>
    <t>新闻媒体（省级）,官方</t>
  </si>
  <si>
    <t>近日，一场聚焦“她力量”赋能产教融合的深度对话在上海电力大学，未来能源创享中心展开——由上海电力大学工会，和女教授联谊会联合主办的“‘她力量’在产教融合中前行”系列沙龙举办，来自上海市教育系统、临港新片区管委会、临港集团、区域内多所高校及重点企业的女性领导、教授学者、企业家与工匠代表齐聚一堂，共同探讨女性在贯通教育链、人才链、产业链与创新链中的独特作用与创新实践，会上“临港高校‘她力量’联盟”在</t>
  </si>
  <si>
    <t>2025-12-22 09:49:51</t>
  </si>
  <si>
    <t>上海热线教育频道</t>
  </si>
  <si>
    <t>新民晚报 易蓉</t>
  </si>
  <si>
    <t>商业媒体</t>
  </si>
  <si>
    <t>    近日，一场聚焦“她力量”赋能产教融合的深度对话在上海电力大学，未来能源创享中心展开——由上海电力大学工会，和女教授联谊会联合主办的“‘她力量’在产教融合中前行”系列沙龙举办，来自上海市教育系统、临港新片区管委会、临港集团、区域内多所高校及重点企业的女性领导、教授学者、企业家与工匠代表齐聚一堂，共同探讨女性在贯通教育链、人才链、产业链与创新链中的独特作用与创新实践，　　会上“临港高校‘她力</t>
  </si>
  <si>
    <t>2025-12-22 09:47:04</t>
  </si>
  <si>
    <t>手机新浪网</t>
  </si>
  <si>
    <t>滚动播报</t>
  </si>
  <si>
    <t>2025-12-22 09:46:16</t>
  </si>
  <si>
    <t>新民晚报</t>
  </si>
  <si>
    <t>2025-12-22 09:46:07</t>
  </si>
  <si>
    <t>QQ浏览器</t>
  </si>
  <si>
    <t>腾讯网</t>
  </si>
  <si>
    <t>2025-12-22 09:42:25</t>
  </si>
  <si>
    <t>APP</t>
  </si>
  <si>
    <t>2025-12-22 09:41:13</t>
  </si>
  <si>
    <t>2025-12-22 09:41:00</t>
  </si>
  <si>
    <t>有驾</t>
  </si>
  <si>
    <t>百度百家</t>
  </si>
  <si>
    <t>2025-12-22 09:40:47</t>
  </si>
  <si>
    <t>上观</t>
  </si>
  <si>
    <t>近日，一场聚焦“她力量”赋能产教融合的深度对话在上海电力大学，未来能源创享中心展开——由上海电力大学工会，和女教授联谊会联合主办的“‘她力量’在产教融合中前行”系列沙龙举办，来自上海市教育系统、临港新片区管委会、临港集团、区域内多所高校及重点企业的女性领导、教授学者、企业家与工匠代表齐聚一堂，共同探讨女性在贯通教育链、人才链、产业链与创新链中的独特作用与创新实践，会上“临港高校‘她力量’联盟”正</t>
  </si>
  <si>
    <t>2025-12-22 09:40:00</t>
  </si>
  <si>
    <t>搜狐新闻</t>
  </si>
  <si>
    <t>打开APP，查看更多精彩图片近日，一场聚焦“她力量”赋能产教融合的深度对话在上海电力大学，未来能源创享中心展开——由上海电力大学工会，和女教授联谊会联合主办的“‘她力量’在产教融合中前行”系列沙龙举办，来自上海市教育系统、临港新片区管委会、临港集团、区域内多所高校及重点企业的女性领导、教授学者、企业家与工匠代表齐聚一堂，共同探讨女性在贯通教育链、人才链、产业链与创新链中的独特作用与创新实践，会上</t>
  </si>
  <si>
    <t>近日，一场聚焦“她力量”赋能产教融合的深度对话在上海电力大学，未来能源创享中心展开——由上海电力大学工会，和女教授联谊会联合主办的“‘她力量’在产教融合中前行”系列沙龙举办，来自上海市教育系统、临港新片区管委会、临港集团、区域内多所高校及重点企业的女性领导、教授学者、企业家与工匠代表齐聚一堂，共同探讨女性在贯通教育链、人才链、产业链与创新链中的独特作用与创新实践，打开APP，查看更多精彩图片会上</t>
  </si>
  <si>
    <t>看名单！2026年上海将增设40个中高职教育贯通培养模式专业</t>
  </si>
  <si>
    <t>2025-12-19 09:01:11</t>
  </si>
  <si>
    <t>　　根据《上海市教育委员会关于继续开展中高职教育贯通培养模式试点工作的通知》和《上海市教育委员会关于继续开展中高职教育贯通培养模式试点工作的补充通知》，经学校申报、专家评议及市教委核定，同意2026年增设上海信息技术学校与上海城建职业学院联合举办的人工智能技术应用等40个中高职教育贯通培养模式专业，学生学籍管理和收费标准按相应规定执行，前3年按中职校有关规定管理，高职阶段按高职院校有关规定管理，</t>
  </si>
  <si>
    <t>下功夫，做示范！打造技能型高校的“国家队”！这一推进会引发热烈反响……</t>
  </si>
  <si>
    <t>2025-12-18 20:58:29</t>
  </si>
  <si>
    <t>新华网客户端</t>
  </si>
  <si>
    <t>成都纺专荣膺黄炎培职业教育奖“优秀学校”“杰出教师”两项殊荣</t>
  </si>
  <si>
    <t>2025-12-18 14:16:00</t>
  </si>
  <si>
    <t>中国长江号</t>
  </si>
  <si>
    <t>12月16日，第九届黄炎培职业教育奖在北京颁奖，隆重表彰为全国职业教育作出突出贡献的优秀学校、杰出校长和杰出教师，成都纺织高等专科学校入选50所优秀学校奖名单，该校朱霞教授入选100名杰出教师，打开APP，查看更多精彩图片成都纺织高等专科学校前身是1939年创办的国立中央技艺专科学校，是中国纺织工业联合会确定的西南唯一纺织服装人才培养高地，是全国唯一服务纺织服装全产业链的高职院校，同时，该校也是</t>
  </si>
  <si>
    <t>12月16日，第九届黄炎培职业教育奖在北京颁奖，隆重表彰为全国职业教育作出突出贡献的优秀学校、杰出校长和杰出教师，成都纺织高等专科学校入选50所优秀学校奖名单，该校朱霞教授入选100名杰出教师，同时，该校也是教育部中华优秀传统文化传承基地，，教育部、文旅部中国非物质文化遗产传承人群研修研习培训计划执行院校，八十六年来，学校始终扎根轻工纺织产业，培养了近10万名高素质技术技能人才，涌现了中国工程院</t>
  </si>
  <si>
    <t>2025-12-18 14:15:00</t>
  </si>
  <si>
    <t>共236件作品入围！校企合作再升级！全国大学生化妆品外观设计大赛颁奖典礼在沪举行</t>
  </si>
  <si>
    <t>2025-12-18 09:18:00</t>
  </si>
  <si>
    <t>中国日报</t>
  </si>
  <si>
    <t>张天磊</t>
  </si>
  <si>
    <t>12月8日，首届“东方美谷·西沐专场”全国大学生化妆品外观设计大赛颁奖典礼在上海科创中心成功举办，标志着这场以“东方雅韵·科技新生”为主题、汇聚全国高校设计力量的赛事圆满落幕，业界观察人士指出此次大赛不仅是一次成功的设计竞技，更是一次深度的产教融合实践，本次大赛由东方美谷企业集团股份有限公司、中央美术学院，艺术与设计管理学院、上海电子信息职业技术学院、上海市奉贤区知识产权快速维权中心、西沐臻品，</t>
  </si>
  <si>
    <t>聚焦青年创意力量！首届全国大学生化妆品设计大赛西沐专场圆满落幕！</t>
  </si>
  <si>
    <t>2025-12-17 16:31:29</t>
  </si>
  <si>
    <t>中华网</t>
  </si>
  <si>
    <t>近日，由东方美谷企业集团股份有限公司、中央美术学院，主办方表示此次大赛不仅是挖掘和展示青年设计力量的重要窗口，更是校企合作探索设计驱动品牌发展、促进东方美学当代化表达的一次成功实践，艺术与设计管理学院、上海电子信息职业技术学院、上海市奉贤区知识产权快速维权中心、西沐臻品，生物科技发展有限公司以及上海市高等教育学会设计教育专委会携手联合举办的首届“东方美谷·西沐专场”全国大学生化妆品外观设计大赛已</t>
  </si>
  <si>
    <t>2025-12-17 16:28:32</t>
  </si>
  <si>
    <t>东方网</t>
  </si>
  <si>
    <t>顾天娇</t>
  </si>
  <si>
    <t>2025-12-17 16:28:00</t>
  </si>
  <si>
    <t>张瑨瑄</t>
  </si>
  <si>
    <t>2025-12-17 11:57:08</t>
  </si>
  <si>
    <t>根据《上海市教育委员会关于继续开展中高职教育贯通培养模式试点工作的通知》和《上海市教育委员会关于继续开展中高职教育贯通培养模式试点工作的补充通知》，经学校申报、专家评议及市教委核定，同意2026年增设上海信息技术学校与上海城建职业学院联合举办的人工智能技术应用等40个中高职教育贯通培养模式专业，学生学籍管理和收费标准按相应规定执行，前3年按中职校有关规定管理，高职阶段按高职院校有关规定管理，一起</t>
  </si>
  <si>
    <t>2025-12-17 11:31:00</t>
  </si>
  <si>
    <t>根据《上海市教育委员会关于继续开展中高职教育贯通培养模式试点工作的通知》和《上海市教育委员会关于继续开展中高职教育贯通培养模式试点工作的补充通知》，经学校申报、专家评议及市教委核定，同意2026年增设上海信息技术学校与上海城建职业学院联合举办的人工智能技术应用等40个中高职教育贯通培养模式专业，学生学籍管理和收费标准按相应规定执行，前3年按中职校有关规定管理，高职阶段按高职院校有关规定管理，jy</t>
  </si>
  <si>
    <t>全国大奖！祝贺连云港这所学校</t>
  </si>
  <si>
    <t>2025-12-16 20:37:00</t>
  </si>
  <si>
    <t>澎湃新闻</t>
  </si>
  <si>
    <t>连云港发布</t>
  </si>
  <si>
    <t>新闻媒体（地方）,官方</t>
  </si>
  <si>
    <t>12月16日第九届黄炎培职业教育奖颁奖大会在北京举行江苏省连云港中医药高等职业技术学校荣获第九届黄炎培职业教育奖优秀学校奖是全国三所获此荣誉的中职学校之一这也是我市第一所获得该奖的学校该奖项是经中共中央、国务院专项审核通过的全国职业教育领域最高级别荣誉，本届全国仅50所院校获此殊荣，其前身可追溯至1916年创建的义德医院护士学校，该校是连云港市政府直属的全日制公办职业学校，也是江苏省内唯一一所专</t>
  </si>
  <si>
    <t>技能筑梦展锋芒 沪上工匠竞风流——上海队在第三届全国工业和信息化技术技能大赛斩获佳绩</t>
  </si>
  <si>
    <t>2025-12-16 16:16:07</t>
  </si>
  <si>
    <t>金台资讯</t>
  </si>
  <si>
    <t>近日，由工业和信息化部、人力资源社会保障部、教育部、中华全国总工会、共青团中央联合主办的第三届全国工业和信息化技术技能大赛在重庆成功举办，作为我国工信领域规模最大、规格最高、影响力最广的国家级一类职业技能赛事，本届大赛以“产才融合?技能报国”为主题，精准对接国家战略性新兴产业发展需求，设置智能网联新能源汽车、智能工业机器人、工业大数据等，名选手参赛，凭借扎实的技术功底与高效的协同作战，斩获，项二</t>
  </si>
  <si>
    <t>推动教育链、人才链与产业链深度融合，这个共同体建设启动......</t>
  </si>
  <si>
    <t>2025-12-16 16:12:41</t>
  </si>
  <si>
    <t>微信</t>
  </si>
  <si>
    <t>东方教育时报</t>
  </si>
  <si>
    <t>12月12日，长三角职业教育“十五五”发展规划编制学术交流会在沪举行，杭州科技职业技术学院职教研究院院长董虹星认为要通过适应国家战略、区域产业、学生成长锚定专业设置，通过一体两翼N重点形成专业群生态，通过五金夯实内涵发展根基，通过 深化产教融合，通过打造协同平台深化科教融汇，通过强化在地化招生就业策略服务区域共富，做好专业（群）国际化高质量发展设计等，上海电子信息职业技术学院院长赵坚指出学校将在</t>
  </si>
  <si>
    <t>2025-12-16 15:44:00</t>
  </si>
  <si>
    <t>人民网</t>
  </si>
  <si>
    <t>山东省省会经济圈产教联合体携手校企“双向奔赴”</t>
  </si>
  <si>
    <t>2025-12-16 08:54:12</t>
  </si>
  <si>
    <t>央广网</t>
  </si>
  <si>
    <t>29日下午，济南市教育局党组成员、副局长王志国主持召开省会经济圈产教联合体理事会会议，局长王纮表示联合体的会员单位已发展到254家，今后聚焦 发展新质生产力，将人才链、创新链嵌入产业链，为区域高质量发展提供坚实支撑，会议强调进一步推动联合体实体化运作，形成一套权责清晰、运转协调、保障有力的长效运行机制，为全省乃至全国同类区域探索可复制、可推广的产教融合新路径，在30日召开的产教联合体实体化创新发</t>
  </si>
  <si>
    <t>2025-12-16 08:54:00</t>
  </si>
  <si>
    <t>打开APP，查看更多精彩图片29日下午，济南市教育局党组成员、副局长王志国主持召开省会经济圈产教联合体理事会会议，局长王纮表示联合体的会员单位已发展到254家，今后聚焦 发展新质生产力，将人才链、创新链嵌入产业链，为区域高质量发展提供坚实支撑，会议强调进一步推动联合体实体化运作，形成一套权责清晰、运转协调、保障有力的长效运行机制，为全省乃至全国同类区域探索可复制、可推广的产教融合新路径，在30日</t>
  </si>
  <si>
    <t>创新数字化赋能教育管理模式</t>
  </si>
  <si>
    <t>2025-12-14 09:18:57</t>
  </si>
  <si>
    <t>全国党媒信息公共平台</t>
  </si>
  <si>
    <t>从“互联网+”到数字经济，再到加强数字中国建设整体布局的提出，数字化已深度融入经济社会发展，班级群与线上问卷等多元渠道主动向学生、教师、家长收集对管理服务的意见建议，同时明确专人负责反馈信息的收集、整理与分析，对高频问题、紧急诉求优先研究解决，对合理建议分类纳入改进清单，定期向用户反馈办理进展与成效，格式错误及逻辑矛盾等问题学生年龄与入学年份不匹配，教育作为国之大计、党之大计，其数字化转型承载着</t>
  </si>
  <si>
    <t>2025-12-14 00:00:00</t>
  </si>
  <si>
    <t>新浪看点</t>
  </si>
  <si>
    <t>人民资讯</t>
  </si>
  <si>
    <t>本文转自：宁夏日报周玉霞从“互联网+”到数字经济，再到加强数字中国建设整体布局的提出，数字化已深度融入经济社会发展，班级群与线上问卷等多元渠道主动向学生、教师、家长收集对管理服务的意见建议，同时明确专人负责反馈信息的收集、整理与分析，对高频问题、紧急诉求优先研究解决，对合理建议分类纳入改进清单，定期向用户反馈办理进展与成效，格式错误及逻辑矛盾等问题学生年龄与入学年份不匹配，教育作为国之大计、党之</t>
  </si>
  <si>
    <t>我国近代职业教育在此发源 长三角各省市在沪启动职业教育共同体生态建设</t>
  </si>
  <si>
    <t>2025-12-13 10:47:07</t>
  </si>
  <si>
    <t>作为我国近代职业教育发祥地，长三角各省市已形成特色鲜明、优势互补的职教生态，未来将携手共创长三角职业教育“产学研用宣”共同体生态建设，上海电子信息职业技术学院院长赵坚指出新时期电子信息产业呈现 、技术集成能力要求突出的高技能人才需求，学校将坚持 的特色发展方向，深耕集群培养，成为上海打造世界级电子信息产业集群征程中不可或缺的高技能人才培养主阵地，上海信息技术学校校长葛睿认为AI赋能要通过校企共研</t>
  </si>
  <si>
    <t>2025-12-13 10:46:30</t>
  </si>
  <si>
    <t>2025-12-13 10:44:40</t>
  </si>
  <si>
    <t>新浪财经</t>
  </si>
  <si>
    <t>2025-12-13 10:42:31</t>
  </si>
  <si>
    <t>2025-12-13 10:40:22</t>
  </si>
  <si>
    <t>新民晚报 陆梓华</t>
  </si>
  <si>
    <t>2025-12-13 10:40:10</t>
  </si>
  <si>
    <t>2025-12-13 10:36:17</t>
  </si>
  <si>
    <t>2025-12-13 10:35:04</t>
  </si>
  <si>
    <t>2025-12-13 10:35:00</t>
  </si>
  <si>
    <t>打开APP，查看更多精彩图片作为我国近代职业教育发祥地，长三角各省市已形成特色鲜明、优势互补的职教生态，未来将携手共创长三角职业教育“产学研用宣”共同体生态建设，上海电子信息职业技术学院院长赵坚指出新时期电子信息产业呈现 、技术集成能力要求突出的高技能人才需求，学校将坚持 的特色发展方向，深耕集群培养，成为上海打造世界级电子信息产业集群征程中不可或缺的高技能人才培养主阵地，上海信息技术学校校长葛</t>
  </si>
  <si>
    <t>一群05后想让这道“过年必备”，更“潮”更好吃！</t>
  </si>
  <si>
    <t>2025-12-12 19:50:00</t>
  </si>
  <si>
    <t>澎湃新闻客户端</t>
  </si>
  <si>
    <t>调研数据表明，在18~35岁青年群体中，超过90%对崇明糕缺乏了解；近80%的消费者从未购买过崇明糕，，《一群05后想让这道过年必备，更潮更好吃，团队成员分析，崇明糕在青年市场中，几乎是一个“隐形产品”，但调研数据也提供了破局指南，高达94%的年轻人渴望小型化和创意化产品，他们更希望通过短视频和文创来接触文化，沪团团来送福利啦！青春上海独家精美徽章共3款，你心动了吗，数达到200时，评论点赞第一</t>
  </si>
  <si>
    <t>2025年上海市马克思主义理论学科发展支持计划入选名单</t>
  </si>
  <si>
    <t>2025-12-12 13:57:06</t>
  </si>
  <si>
    <t>马克思主义理论研究和建设工程是党的思想理论建设的基础工程、战略工程，为深入推进习近平新时代中国特色社会主义思想学习研究宣传，贯彻落实中央关于创新实施马克思主义理论研究和建设工程以及全国教育大会的部署要求，着力打造马克思主义理论学科人才高地，加快建设习近平文化思想最佳实践地，在市委宣传部、市教卫工作党委、市教委的指导下，上海市习近平新时代中国特色社会主义思想研究中心、上海市教育科学研究院、上海市教</t>
  </si>
  <si>
    <t>2025-12-12 13:55:09</t>
  </si>
  <si>
    <t>文汇</t>
  </si>
  <si>
    <t>2025-12-12 13:52:12</t>
  </si>
  <si>
    <t>2025-12-12 13:51:08</t>
  </si>
  <si>
    <t>文汇报</t>
  </si>
  <si>
    <t>2025-12-12 13:46:09</t>
  </si>
  <si>
    <t>2025-12-12 13:46:00</t>
  </si>
  <si>
    <t>2025-12-12 13:45:41</t>
  </si>
  <si>
    <t>文汇报 陈瑜</t>
  </si>
  <si>
    <t>2025-12-12 13:45:00</t>
  </si>
  <si>
    <t>非遗老味道的青春新配方 4689份问卷、数十轮测试，他们只想让崇明糕更“潮”更好吃</t>
  </si>
  <si>
    <t>2025-12-11 08:58:47</t>
  </si>
  <si>
    <t>青年报</t>
  </si>
  <si>
    <t>记者 范彦萍</t>
  </si>
  <si>
    <t>报刊</t>
  </si>
  <si>
    <t>    “小时候家里过节必吃的崇明糕，又大又硬，象征团圆却实在难咬，团队负责人刘家豪告诉记者这个项目的灵感来自我们团队的一名成员朱佳伟，他是崇明人，从小逢年过节的时候吃着崇明糕长大。团队负责人刘家豪告诉记者名声在外的崇明糕却不被年轻人钟爱，反而被吐槽又大又硬只能送礼，    调研数据表明现在年轻人基本不了解崇明糕，非遗的传承令人忧虑。    调研数据表明在18~35岁青年群体中，超过90%对崇明</t>
  </si>
  <si>
    <t>非遗老味道的青春新配方</t>
  </si>
  <si>
    <t>2025-12-11 00:00:00</t>
  </si>
  <si>
    <t>本文转自：青年报非遗老味道的青春新配方4689份问卷、数十轮测试，他们只想让崇明糕更“潮”更好吃记者，团队负责人刘家豪告诉记者这个项目的灵感来自我们团队的一名成员朱佳伟，他是崇明人，从小逢年过节的时候吃着崇明糕长大。团队负责人刘家豪告诉记者名声在外的崇明糕却不被年轻人钟爱，反而被吐槽又大又硬只能送礼，调研数据表明现在年轻人基本不了解崇明糕，非遗的传承令人忧虑。调研数据表明在18~35岁青年群体中</t>
  </si>
  <si>
    <t>2025-12-10 23:27:07</t>
  </si>
  <si>
    <t>近日，由工业和信息化部、人力资源社会保障部、教育部、中华全国总工会、共青团中央联合主办的第三届全国工业和信息化技术技能大赛在重庆成功举办，作为我国工信领域规模最大、规格最高、影响力最广的国家级一类职业技能赛事，本届大赛以“产才融合・技能报国”为主题，精准对接国家战略性新兴产业发展需求，设置智能网联新能源汽车、智能工业机器人、工业大数据等，名选手参赛，凭借扎实的技术功底与高效的协同作战，斩获，项二</t>
  </si>
  <si>
    <t>2025-12-10 22:30:00</t>
  </si>
  <si>
    <t>当崇明糕遇上05后，这群高职生探索非遗赋能乡村振兴“新范式”</t>
  </si>
  <si>
    <t>2025-12-10 20:15:03</t>
  </si>
  <si>
    <t>青春上海</t>
  </si>
  <si>
    <t>范彦萍“小时候家里过节必吃的崇明糕，又大又硬，象征团圆却实在难咬，该项目团队负责人刘家豪告诉记者在市、区两级文旅局的支持下，这一比赛项目即将在崇明落地，他们希望用这个故事，回答 ——把专业知识变成可落地的市场增量，把文化记忆转化为可复制的情感消费，责人刘家豪告诉记者青年到底能为乡村做什么，刘家豪告诉记者这个项目的灵感来自我们的团队的一个成员朱佳伟，他是崇明人，从小逢年过节的时候吃着崇明糕长大。刘</t>
  </si>
  <si>
    <t>上海电子信息职业技术学院：一场关于崇明糕的非遗创新探索</t>
  </si>
  <si>
    <t>2025-12-10 10:42:16</t>
  </si>
  <si>
    <t>新闻晨报</t>
  </si>
  <si>
    <t>近日，从2025年“知行杯”上海市大学生社会实践大赛颁奖现场传来捷报，上海电子信息职业技术学院经济与管理学院“海上瀛洲”实践团队凭借《非遗崇明糕青年牵引活化与乡村振兴调研实践》项目，从众多高校队伍中脱颖而出，荣获大赛一等奖，调研数据表明现在年轻人基本不了解崇明糕，非遗文化的传承令人忧虑。调研数据表明18-35岁青年群体中，超过90%对崇明糕缺乏了解，品牌认知近乎于零，近80%的消费者从未购买过崇</t>
  </si>
  <si>
    <t>2025-12-10 10:39:00</t>
  </si>
  <si>
    <t>近日，从2025年“知行杯”上海市大学生社会实践大赛颁奖现场传来捷报，上海电子信息职业技术学院经济与管理学院“海上瀛洲”实践团队凭借《非遗崇明糕青年牵引活化与乡村振兴调研实践》项目，从众多高校队伍中脱颖而出，荣获大赛一等奖，调研数据表明18-35岁青年群体中，超过90%对崇明糕缺乏了解，品牌认知近乎于零，近80%的消费者从未购买过崇明糕，市场渗透严重不足，局长马静表示文旅局愿意与海上瀛洲团队携手</t>
  </si>
  <si>
    <t>2025-12-10 10:14:31</t>
  </si>
  <si>
    <t>袁征</t>
  </si>
  <si>
    <t>英魂归故土 上海举行已故老兵集体葬礼</t>
  </si>
  <si>
    <t>2025-12-09 09:23:11</t>
  </si>
  <si>
    <t>12月7日，一场特殊的送别仪式在上海永福园志愿军纪念广场举行，在家属代表、学生志愿者、在沪部队官兵等各界人士的深情缅怀和崇高敬意中，八位已故老兵落葬于此，这是上海永福园连续第12年举行“致敬！老兵”集体安葬活动，千余名在各个历史时期浴血奋战的老兵魂归故土，集体葬礼既是对已故老兵的庄严致敬，也是一堂生动的爱国主义教育课，激励后人牢记历史，传承红色基因，　　记者：张梦洁　　新华社音视频部制作配临总息</t>
  </si>
  <si>
    <t>视频 | 奉贤举行已故老兵集体安葬仪式</t>
  </si>
  <si>
    <t>2025-12-08 19:31:52</t>
  </si>
  <si>
    <t>看看新闻</t>
  </si>
  <si>
    <t>视频 | 奉贤举行已故老兵集体安葬仪式15 IMG: 15 IMG: 15 IMG: 15 IMG: 致藏！老乐 英魂铸丰碑 精神励后人 已故老兵冬至集体安葬仪式 R 位：上新 上办：上准或#自理有公司 支持单位：中国人民解放军94774部队 上海东业源保家人学务务 上海市人馆 上海基人府 上海音乐学院 上海东###基公售 上海电子信息职业技术学院 2025年12月1日 IMG: 致藏！老乐 英</t>
  </si>
  <si>
    <t>视频 | 20251208奉贤新闻完整版</t>
  </si>
  <si>
    <t>2025-12-08 19:30:05</t>
  </si>
  <si>
    <t>奉贤周洁艺术馆开馆一周迎来众多市民前往观展，奉贤本周气温将坐“过山车”市民需注意灵活增减衣物，会议指出，要深入学习贯彻习近平总书记重要指示精神，毫不松懈抓好安全生产和，防灾减灾各项工作，确保人民群众生命财产安全和社会大局稳定，风险排查、精准治理、宣传教育等各项工作，着力提升群众安全意识和自救互救能力，要严格落实安全生产责任制，坚持党政同责、一岗双责、齐抓共，失职追责，形成层层负责、人人有责、各尽</t>
  </si>
  <si>
    <t>2025-12-08 14:07:00</t>
  </si>
  <si>
    <t>新华社</t>
  </si>
  <si>
    <t>12月7日，一场特殊的送别仪式在上海永福园志愿军纪念广场举行，在家属代表、学生志愿者、在沪部队官兵等各界人士的深情缅怀和崇高敬意中，八位已故老兵落葬于此，这是上海永福园连续第12年举行“致敬！老兵”集体安葬活动，千余名在各个历史时期浴血奋战的老兵魂归故土，集体葬礼既是对已故老兵的庄严致敬，也是一堂生动的爱国主义教育课，激励后人牢记历史，传承红色基因。</t>
  </si>
  <si>
    <t>2025-12-08 14:06:00</t>
  </si>
  <si>
    <t>12月7日，一场特殊的送别仪式在上海永福园志愿军纪念广场举行，在家属代表、学生志愿者、在沪部队官兵等各界人士的深情缅怀和崇高敬意中，八位已故老兵落葬于此，这是上海永福园连续第12年举行“致敬！老兵”集体安葬活动，千余名在各个历史时期浴血奋战的老兵魂归故土，集体葬礼既是对已故老兵的庄严致敬，也是一堂生动的爱国主义教育课，激励后人牢记历史，传承红色基因，那些在革命年代为祖国做出重大奉献跟牺牲的英雄人</t>
  </si>
  <si>
    <t>奉贤举行已故老兵集体安葬仪式，英魂长眠致敬英雄</t>
  </si>
  <si>
    <t>2025-12-08 13:34:01</t>
  </si>
  <si>
    <t>季千滟 钱子欣  实习生：邢思哲</t>
  </si>
  <si>
    <t>在深情的缅怀与崇高的敬意中，一场特殊的送别仪式在此举行——八位已故老兵樊殿芳、王明智、蔡志奋、孙剑东、叶建国、王强恩、周付才、缪琨的集体安葬仪式，上海永福园陵有限公司总经理徐汶强接受媒体采访时动情地表示英雄虽已逝去，但他们精神永存，化作民族历史中永不磨灭的丰碑，这是上海永福园连续第12年举行“致敬！老兵”集体安葬活动，以此铭记历史，告慰英灵，传承永不褪色的红色精神，现场，已故老兵的家属、亲朋好友</t>
  </si>
  <si>
    <t>2025上海市大学生足球联盟联赛落幕老牌劲旅笑傲绿茵场</t>
  </si>
  <si>
    <t>2025-12-08 10:48:02</t>
  </si>
  <si>
    <t>东方体育日报</t>
  </si>
  <si>
    <t>李一平/张立</t>
  </si>
  <si>
    <t>12月2日，随着男子校园组冠军诞生，2025上海市大学生足球联盟联赛顺利落下帷幕，上海思博职业技术学院足球队教练秦君表示但队员们在系列赛中敢打敢拼，最终以微弱的优势夺冠，  担任上海思博职业技术学院队长的是大二学生包恩泽，回顾整个赛事，他坦言历经艰险，上海思博职业技术学院足球队教练秦君表示今年其实我们人员不太齐整，一开始的想法还是以参与为主。上海思博职业技术学院足球队教练秦君表示我给队员们的拼抢</t>
  </si>
  <si>
    <t>上海永福园为八位已故老兵举行庄严集体安葬仪式</t>
  </si>
  <si>
    <t>2025-12-07 18:07:50</t>
  </si>
  <si>
    <t>中国新闻网</t>
  </si>
  <si>
    <t>为送别八位已故老兵——樊殿芳、王明智、蔡志奋、孙剑东、叶建国、王强恩、周付才、缪琨，一场特别的集体安葬仪式7日在上海永福园志愿军纪念广场举行，上海中国人民志愿军纪念馆执行馆长徐汶强表示英雄虽已逝去，但他们的精神永存，这是上海永福园连续第12年举行“致敬！老兵”集体安葬活动，现场，已故老兵的亲朋好友及相关单位代表纷纷前来，共同送老兵最后一程，上海市奉贤区退役军人事务局、上海永福园陵有限公司与上海中</t>
  </si>
  <si>
    <t>春考可以报考哪些学校</t>
  </si>
  <si>
    <t>2025-12-06 14:33:35</t>
  </si>
  <si>
    <t>健康卫视网</t>
  </si>
  <si>
    <t>张静宇00848</t>
  </si>
  <si>
    <t>春考可以报考哪些学校，蹲一个热心人，求不嫌弃我笨！，是部分省市为考生提供的一种升学途径，尤其在上海市、浙江省等地较为常见，通过春考，考生可以进入一些本科或专科院校，但具体可报考的学校和专业会因地区而异，本文将对春考可以报考的学校进行总结，并以表格形式列出部分可选院校，供参考，一、春考的基本情况春考通常在每年3月进行，考试内容主要包括语文、数学、外语以及综合素质测试等，与普通高考相比，题型更灵活，</t>
  </si>
  <si>
    <t>第九届黄炎培职业教育奖获奖名单公示——杰出教师奖100名</t>
  </si>
  <si>
    <t>2025-12-05 17:09:00</t>
  </si>
  <si>
    <t>中国教育在线</t>
  </si>
  <si>
    <t>商业媒体,商媒</t>
  </si>
  <si>
    <t>第九届黄炎培职业教育奖获奖名单公示——杰出教师奖100名搜狐视频。</t>
  </si>
  <si>
    <t>媒体聚焦 | 研学后开设新专业、以校包系组团强校、以创业反哺经济</t>
  </si>
  <si>
    <t>2025-12-04 21:01:00</t>
  </si>
  <si>
    <t>上海市教委高度重视职业教育对口支援工作，2018年，成立上海职业教育对口帮扶工作协调小组，设在上海市教委教育技术装备中心，发挥对口支援工作的组织管理作用，打通了从职业教育到本科教育的成长通道建筑工程技术（3+2）高本贯通，打通了从职业教育到本科教育的成长通道为学生搭建了多元发展的立交桥，沪喀职教联盟、沪果职教联盟以及沪滇职教联盟，、28个职教集团及中高职院校，精准对接对口支援地区产业发展和人才需</t>
  </si>
  <si>
    <t>设新专业、组团强校、反哺经济……上海职业教育对口支援振兴乡村经济</t>
  </si>
  <si>
    <t>2025-12-04 09:23:28</t>
  </si>
  <si>
    <t>上海市教委历来高度重视职业教育对口支援工作，2018年，成立上海职业教育对口帮扶工作协调小组，设在上海市教委教育技术装备中心，发挥对口支援工作的组织管理作用，打通了从职业教育到本科教育的成长通道建筑工程技术（3+2）高本贯通，打通了从职业教育到本科教育的成长通道为学生搭建了多元发展的立交桥，沪喀职教联盟、沪果职教联盟以及沪滇职教联盟，、28个职教集团及中高职院校，精准对接对口支援地区产业发展和人</t>
  </si>
  <si>
    <t>2025梦想起航校园电竞职业技能大赛圆满落幕</t>
  </si>
  <si>
    <t>2025-12-01 09:45:00</t>
  </si>
  <si>
    <t>环球网</t>
  </si>
  <si>
    <t>11月22日，“2025梦想起航校园电竞职业技能大赛”在上海市群星职业技术学校圆满闭幕，由上海市科技艺术教育中心主办，上海市校园电子竞技运动协会、上海市群星职业技术学校、完美世界教育科技，有限公司联合承办的赛事，以其创新的赛制设计和丰硕的育人成果，为电竞职业教育发展注入了新的活力，他强调，学校将持续深化“岗课赛证”综合育人模式，为上海电竞产业发展输送更多高素质技术技能人才，颁奖仪式上，上海市科技</t>
  </si>
  <si>
    <t>[中职]上海科技管理学校:燃动青春，数绘新篇——成功举办上海市心理学会青春期与性心理健康教育实践基地展示活动</t>
  </si>
  <si>
    <t>2025-12-01 09:34:22</t>
  </si>
  <si>
    <t>东方网教育</t>
  </si>
  <si>
    <t>11月25日下午，上海科技管理学校成功举办了2025年度上海市心理学会青春期与性心理健康教育实践基地展示活动，上海市职业教育协会会长郭扬，教育部全国学生心理健康工作咨询委员会委员、上海市心理学会青春期与性心理教育工作委员会主任颜苏勤，上海教育系统关工委中职分会副秘书长张平，上海科技管理学校党委书记、校长肖卫平，上海科技管理学校副校长周卫民，上海市医药学校副校长茅燕萍，上海港湾学校党委副书记赵婉莹</t>
  </si>
  <si>
    <t>2025-12-01 09:30:07</t>
  </si>
  <si>
    <t>2025-11-29 09:49:00</t>
  </si>
  <si>
    <t>上海电子信息职业技术学院:以文化人锻造时代工匠——第十届校园文化艺术节闭幕</t>
  </si>
  <si>
    <t>2025-11-28 18:35:37</t>
  </si>
  <si>
    <t>顾月 姜竹文</t>
  </si>
  <si>
    <t>11月27日晚，上海电子信息职业技术学院第十届校园文化艺术节在奉贤校区综合体育馆圆满闭幕，一位参演学生激动地表示传承红色薪火、练就过硬本领，艺术实践的舞台淬炼了我们的责任感与专业性。我们已准备好，用青春之力为学校高质量发展增光添彩！，现场观众也深有感触地说这就是一堂生动的大思政课，既有历史的厚重感，也有青春的感染力，台上同学们展现出的家国情怀和时代担当，让我看到了匠心背后的赤子之心，更理解了‘文</t>
  </si>
  <si>
    <t>2025-11-28 18:24:00</t>
  </si>
  <si>
    <t>中国财富网</t>
  </si>
  <si>
    <t>2025-11-28 17:51:26</t>
  </si>
  <si>
    <t>中国经济新闻网</t>
  </si>
  <si>
    <t>2025-11-28 17:38:38</t>
  </si>
  <si>
    <t>中国商报网</t>
  </si>
  <si>
    <t>2025-11-28 17:35:40</t>
  </si>
  <si>
    <t>中金在线</t>
  </si>
  <si>
    <t>11月22日，“2025梦想起航校园电竞职业技能大赛”在上海市群星职业技术学校圆满闭幕，由上海市科技艺术教育中心主办，上海市校园电子竞技运动协会、上海市群星职业技术学校、完美世界教育科技，有限公司联合承办的赛事，以其创新的赛制设计和丰硕的育人成果，为电竞职业教育发展注入了新的活力，　　上海市群星职业技术学校吴冬春副书记在闭幕致辞中充分肯定了大赛在推动产教融合、促进人才培养方面取得的显著成效，他强</t>
  </si>
  <si>
    <t>2025-11-28 17:21:02</t>
  </si>
  <si>
    <t>2025-11-28 17:20:03</t>
  </si>
  <si>
    <t>极客网</t>
  </si>
  <si>
    <t>2025-11-28 16:30:47</t>
  </si>
  <si>
    <t>第十一届“知网杯”上海高校信息资源发现大赛决赛在我校举办</t>
  </si>
  <si>
    <t>2025-11-28 16:30:00</t>
  </si>
  <si>
    <t>上海师范大学图书馆</t>
  </si>
  <si>
    <t>11月25日下午，由上海市高等学校图书情报工作委员会与同方知网，评委们一致认为本届赛题设计独具匠心，紧密结合AI技术发展前沿，既有对传统检索技能的考察，又有对智能工具应用能力的检验，技术有限公司上海分公司联合主办，上海高校图工委人才培养支持工作组、上海师范大学图书馆承办，上海各高校图书馆协办的第十一届“知网杯”上海高校信息资源发现大赛决赛在上海师范大学徐汇校区东部音乐厅成功举办，打开APP，查看</t>
  </si>
  <si>
    <t>72家企业，1000+岗位需求，“就”在明天！</t>
  </si>
  <si>
    <t>2025-11-27 18:32:00</t>
  </si>
  <si>
    <t>奉贤区2025“招才引智直通车之校园招聘”暨金秋招聘月主题活动即将启动，72家企业，1046个岗位需求，“职”等你来！，企业岗位：覆盖美丽大健康、绿色新能源、通用新材料、数智新装备等四大主导产业，政策推介：人才、就业、创业、培训等各类政策推介，“贤城乐业”挑战赛：古今职鉴，带你了解职业变迁，主办单位：中共上海市奉贸区人才工作领导小组办公室。</t>
  </si>
  <si>
    <t>2025“招才引智直通车之校园招聘”暨金秋招聘月主题活动即将启动！</t>
  </si>
  <si>
    <t>2025-11-27 17:31:00</t>
  </si>
  <si>
    <t>企业岗位：覆盖美丽大健康、绿色新能源、通用新材料、数智新装备等四大主导产业，政策推介：人才、就业、创业、培训等各类政策推介，“贤城乐业”挑战赛：古今职鉴，带你了解职业变迁，开业倒计时！嘉园坊大波剧透来袭，最新签约品牌首度公开→，“容缺受理”亮绿灯，畅通项目建设“快车道”丨营商环境，守护“看不见的赛场”：区数据局通信保障团队的幕后护航，“鸟中熊猫”飞入“摩登田野”，震旦鸦雀为南上海生态“代言”，主</t>
  </si>
  <si>
    <t>全国总决赛一等奖！江苏信息职业技术学院国赛再创佳绩</t>
  </si>
  <si>
    <t>2025-11-27 17:10:00</t>
  </si>
  <si>
    <t>中国江苏网</t>
  </si>
  <si>
    <t>11月14日至16日，2025“一带一路”暨金砖国家技能发展与技术创新大赛第一届信创适配及安全管理赛项全国总决赛在上海电子信息职业技术学院举办，学校相关负责人表示学校将以此次获奖为契机，始终践行 的教育理念，在信创适配、网络安全等领域培养学生的创新思维与高技能实战能力，学校相关负责人表示以竞赛驱动教学革新、以竞赛促进学习深化、以竞赛引领改革前行，陆红蕾、王锐老师指导，学生顾泽宇、董静默组成的参赛</t>
  </si>
  <si>
    <t>2025-11-27 17:04:00</t>
  </si>
  <si>
    <t>会议通知 | 赋能·重构·共生：AI驱动图书馆素养教育的顶层设计与实践路径</t>
  </si>
  <si>
    <t>2025-11-27 09:00:00</t>
  </si>
  <si>
    <t>上海外国语大学图书馆</t>
  </si>
  <si>
    <t>打开APP，查看更多精彩图片第一分会场Academic，上海大学图书馆副馆长13:50-14:20《从信息使用到知识验证：数字素养教育的循证科学路径》吴建中，中国图书馆学会学术研究工作委员会名誉主任14:20-14:40《，同济大学图书馆党委副书记专题报告二主持人：郎文君上海公安学院图书馆馆长14:40-15:10《多模态AI工具驱动的技能组合新逻辑——从数据到智慧的图书馆人机共生之路》熊英江西</t>
  </si>
  <si>
    <t>2025-11-26 16:00:00</t>
  </si>
  <si>
    <t>新华报业网</t>
  </si>
  <si>
    <t>2025-11-26 15:56:27</t>
  </si>
  <si>
    <t>2025-11-26 14:56:00</t>
  </si>
  <si>
    <t>中国经济网</t>
  </si>
  <si>
    <t>数数金山的民生“大礼包”</t>
  </si>
  <si>
    <t>2025-11-26 14:36:04</t>
  </si>
  <si>
    <t>上海市人民政府</t>
  </si>
  <si>
    <t>数数金山的民生“大礼包”五年转型塑形 民生保障突出优质普惠的特征 教育发展能级得到提升 中侨职业技术大学 获学士学位授予资格 上海电影艺术职业学院 基本建成 上海现代化工职业学院落地 上海健康护理职业学校落地 上海电子信息职业技术学院 落地 L 华二金山实验学校 正式投用 “1+4”高等职业院校体系基本形成 成功创建国家义务教育优质均衡发展 区、全国学前教育普及普惠区 IMG: 健康金山建设全面</t>
  </si>
  <si>
    <t>逐梦国赛斩桂冠 深耕信创育英才</t>
  </si>
  <si>
    <t>2025-11-26 11:03:05</t>
  </si>
  <si>
    <t>11月15日,2025“一带一路”暨金砖国家技能发展与技术创新大赛第一届信创适配及安全管理赛项，河北资源环境职业技术学院计算机与信息技术系选派2024级计算机网络技术专业学生李宇晨、李轩蒂代表学院参赛,他们凭借扎实的专业能力和出色的现场发挥,最终斩获全国一等奖,指导教师马鹏程获评“优秀指导老师”称号,充分展现了学院在信创领域的人才培养成效，“信创”全称“信息技术应用创新”,它的目标是解决我国在信</t>
  </si>
  <si>
    <t>2025-11-26 11:03:00</t>
  </si>
  <si>
    <t>2025-11-25 17:33:00</t>
  </si>
  <si>
    <t>企业岗位：覆盖美丽大健康、绿色新能源、通用新材料、数智新装备等四大主导产业，政策推介：人才、就业、创业、培训等各类政策推介，“贤城乐业”挑战赛：古今职鉴，带你了解职业变迁，1.在奉高校大学生提前准备个人简历等有关应聘材料，电影同款！有肉、有菜、有碳水，网友直呼：鲜掉眉毛，从“被遗忘角落”到“宜居新空间”，庄行冷泾新村美丽蝶变纪实，杨王地块成功出让！将践行“好房子”标准，重塑品质人居新格局，主办单</t>
  </si>
  <si>
    <t>2025-11-25 17:02:00</t>
  </si>
  <si>
    <t>技工强省这几年丨陈传胜：同题共答 同频共振</t>
  </si>
  <si>
    <t>2025-11-25 16:39:04</t>
  </si>
  <si>
    <t>人民网+</t>
  </si>
  <si>
    <t xml:space="preserve">人民网记者 汪瑞华 </t>
  </si>
  <si>
    <t>在安徽广德，一所技师学院成为不少孩子的选择，映射出全社会对职业教育高质量发展的期待，安徽广德技师学院院长陈传胜说学校希望培养 的新一代技工技师，努力营造匠心、善行的育人氛围，陈传胜坦言围绕广德市 双轮驱动的发展战略，安徽技师学院与广德市同题共答，同频共振，安徽广德技师学院院长陈传胜说我们坚信每个学生都有独特才能，关键在于发现与培育。安徽广德技师学院院长陈传胜说心中有梦、眼中有光、手中有活，陈传胜</t>
  </si>
  <si>
    <t>消防宣传月｜校园安全“必修课” 火热开课！</t>
  </si>
  <si>
    <t>2025-11-25 14:12:02</t>
  </si>
  <si>
    <t>全国消防宣传月期间，本市各区精心策划、多点发力，开展了一系列形式多样、内容丰富的消防安全宣传活动，让师生们在潜移默化中掌握消防知识、提升自救技能，让安全理念深植校园每一个角落，共同编织起守护青春成长的消防安全防护网，近日，崇明区消防救援支队支队联合上海外国语大学贤达经济人文学院开展“119”消防宣传月进学校主题活动，500余名师生通过疏散演练、实操培训、装备体验、志愿招募等多元形式，“零距离”学</t>
  </si>
  <si>
    <t>2025-11-25 14:01:00</t>
  </si>
  <si>
    <t>2025-11-25 12:04:50</t>
  </si>
  <si>
    <t>在安徽广德，一所技师学院成为不少孩子的选择，映射出全社会对职业教育高质量发展的期待，安徽广德技师学院院长陈传胜说学校希望培养 的新一代技工技师，努力营造匠心、善行的育人氛围，安徽广德技师学院院长陈传胜说我们坚信每个学生都有独特才能，关键在于发现与培育。安徽广德技师学院院长陈传胜说心中有梦、眼中有光、手中有活，陈传胜坦言以往，部分传统专业在就业市场上和企业需求的匹配度不够高。陈传胜坦言因此我们结合</t>
  </si>
  <si>
    <t>2025-11-25 12:00:23</t>
  </si>
  <si>
    <t>汪瑞华在安徽广德，一所技师学院成为不少孩子的选择，映射出全社会对职业教育高质量发展的期待，安徽广德技师学院院长陈传胜说学校希望培养 的新一代技工技师，努力营造匠心、善行的育人氛围，陈传胜坦言围绕广德市 双轮驱动的发展战略，安徽技师学院与广德市同题共答，同频共振，安徽广德技师学院院长陈传胜说我们坚信每个学生都有独特才能，关键在于发现与培育。安徽广德技师学院院长陈传胜说心中有梦、眼中有光、手中有活，</t>
  </si>
  <si>
    <t>2025-11-25 12:00:00</t>
  </si>
  <si>
    <t>2025-11-25 10:04:59</t>
  </si>
  <si>
    <t>快资讯</t>
  </si>
  <si>
    <t>人民看点</t>
  </si>
  <si>
    <t>2025-11-25 10:04:00</t>
  </si>
  <si>
    <t>人民网记者 汪瑞华</t>
  </si>
  <si>
    <t>人民網記者 汪瑞華</t>
  </si>
  <si>
    <t>上海市第三届职业院校“校长杯”运动会开幕</t>
  </si>
  <si>
    <t>2025-11-24 16:17:13</t>
  </si>
  <si>
    <t>11月22日，上海市第三届职业院校“校长杯”运动会在热烈的氛围中开幕，上海市中等专业学校体育协会会长张伟罡在致辞中表示它不仅是展现职业院校领导干部风采的竞技舞台，更是凝聚校际情谊、共话职教发展的重要纽带，这场由上海市教育委员会主办，上海市中等专业学校体育协会、中国银行上海市分行协办，上海闵行职业技术学院承办的体育盛会，吸引了全市50余所职业院校的校级领导踊跃参与，开幕式上，闵行职业技术学院院长刘</t>
  </si>
  <si>
    <t>11月22日，上海市第三届职业院校“校长杯”运动会在热烈的氛围中开幕，上海市中等专业学校体育协会会长张伟罡在致辞中表示它不仅是展现职业院校领导干部风采的竞技舞台，更是凝聚校际情谊、共话职教发展的重要纽带，这场由上海市教育委员会主办，上海市中等专业学校体育协会、中国银行上海市分行协办，上海闵行职业技术学院承办的体育盛会，吸引了全市50余所职业院校的校级领导踊跃参与， 该图片疑似AI生成开幕式上，闵</t>
  </si>
  <si>
    <t>2025-11-24 16:12:00</t>
  </si>
  <si>
    <t>2025-11-24 16:07:24</t>
  </si>
  <si>
    <t>张宁</t>
  </si>
  <si>
    <t>技以载道・匠心筑梦|“身边人讲身边事”微光故事会举行</t>
  </si>
  <si>
    <t>2025-11-24 11:17:11</t>
  </si>
  <si>
    <t>11月21日，上海电子信息职业技术学院举行“技以载道・匠心筑梦”身边人讲身边事微光故事会，活动由宣传部、教师工作部、学生工作部、团委联合主办，学校党委副书记、纪委书记丁磊，宣传部、教师工作部、学生工作部、团委等部门负责人，二级党组织书记、宣传员及师生代表共同见证这场充满温度与力量的故事盛会，故事会由宣传部副部长陈卫炉主持，分为“师者・引路”“青春・追光”和“校友・远航”三个篇章，10位师生选手依</t>
  </si>
  <si>
    <t>2025-11-24 10:55:24</t>
  </si>
  <si>
    <t>技以载道・匠心筑梦｜“身边人讲身边事”微光故事会举行</t>
  </si>
  <si>
    <t>2025-11-24 10:53:00</t>
  </si>
  <si>
    <t>上海电子信息职业技术学院:技以载道·匠心筑梦 “身边人讲身边事”微光故事会举行</t>
  </si>
  <si>
    <t>2025-11-24 10:03:42</t>
  </si>
  <si>
    <t>署名：王香玉、杨璟楠</t>
  </si>
  <si>
    <t>11月21日，由宣传部、教师工作部、学生工作部、团委联合主办的“技以载道·匠心筑梦”身边人讲身边事微光故事会在C108报告厅圆满举行，学校党委副书记、纪委书记丁磊，宣传部、教师工作部、学生工作部、团委等部门负责人，二级党组织书记、宣传员及师生代表共同见证这场充满温度与力量的故事盛会，故事会由宣传部副部长陈卫炉主持，分为“师者·引路”“青春·追光”和“校友·远航”三个篇章，10位师生选手依次登台，</t>
  </si>
  <si>
    <t>2026年上海将增设40个中高职教育贯通培养模式专业→</t>
  </si>
  <si>
    <t>2025-11-22 16:55:49</t>
  </si>
  <si>
    <t>市教委介绍，根据《上海市教育委员会关于继续开展中高职教育贯通培养模式试点工作的通知》和《上海市教育委员会关于继续开展中高职教育贯通培养模式试点工作的补充通知》，经学校申报、专家评议及市教委核定，同意2026年增设上海信息技术学校与上海城建职业学院联合举办的人工智能技术应用等40个中高职教育贯通培养模式专业，学生学籍管理和收费标准按相应规定执行，前3年按中职校有关规定管理，高职阶段按高职院校有关规</t>
  </si>
  <si>
    <t>2025-11-22 16:52:00</t>
  </si>
  <si>
    <t>【便民】2026年上海将增设40个中高职教育贯通培养模式专业→</t>
  </si>
  <si>
    <t>2025-11-22 11:14:50</t>
  </si>
  <si>
    <t>2025-11-22 10:27:07</t>
  </si>
  <si>
    <t>上海电子信息职业技术学院与益发施迈茨工业炉取得带有均匀加热功能的卧式真空炉专利</t>
  </si>
  <si>
    <t>2025-11-22 10:11:01</t>
  </si>
  <si>
    <t>金融界</t>
  </si>
  <si>
    <t>国家知识产权局信息显示，上海电子信息职业技术学院、益发施迈茨工业炉（上海）有限公司取得一项名为“一种带有均匀加热的功能的卧式真空炉”的专利，授权公告号CN120555705B，申请日期为2025年7月。声明：市场有风险，投资需谨慎。本文为AI基于第三方数据生成，仅供参考，不构成个人投资建议。</t>
  </si>
  <si>
    <t>2025-11-22 10:01:00</t>
  </si>
  <si>
    <t>2025-11-22 09:01:00</t>
  </si>
  <si>
    <t>教育信息速报</t>
  </si>
  <si>
    <t>2025-11-22 09:00:00</t>
  </si>
  <si>
    <t>2025-11-22 08:47:00</t>
  </si>
  <si>
    <t>上海普陀</t>
  </si>
  <si>
    <t>【教育】2026年上海将增设40个中高职教育贯通培养模式专业→</t>
  </si>
  <si>
    <t>2025-11-21 18:25:55</t>
  </si>
  <si>
    <t>顶端新闻</t>
  </si>
  <si>
    <t>上海发布</t>
  </si>
  <si>
    <t>市教委：2026上海中高职贯通专业+40！</t>
  </si>
  <si>
    <t>2025-11-21 16:07:05</t>
  </si>
  <si>
    <t>2025-11-21 15:11:01</t>
  </si>
  <si>
    <t>2025-11-21 15:03:00</t>
  </si>
  <si>
    <t>2025-11-21 14:37:00</t>
  </si>
  <si>
    <t>东方新闻</t>
  </si>
  <si>
    <t>2025-11-21 14:01:00</t>
  </si>
  <si>
    <t>喜报！湖南信息职院学子斩获金砖国家技能大赛全国金奖​</t>
  </si>
  <si>
    <t>2025-11-20 22:31:13</t>
  </si>
  <si>
    <t>星辰在线</t>
  </si>
  <si>
    <t>记者 孙烨  杨辉 肖瑶星</t>
  </si>
  <si>
    <t>近日，2025“一带一路”暨金砖国家技能发展与技术创新大赛第一届信创适配及安全管理赛项全国总决赛在上海电子信息职业技术学院圆满落幕，活动负责人表示此次金奖的获得是湖南信息职院 模式的生动实践，也是学院人才培养质量的有力证明，更彰显了湘信范式服务国家战略的育人成效，为职业院校信创人才培养提供了宝贵经验，活动负责人表示‘信创’核心是突破核心信息技术依赖、实现国产化自主可控。活动负责人表示多元协同・产</t>
  </si>
  <si>
    <t>2026年上海将增设40个中高职教育贯通培养模式专业</t>
  </si>
  <si>
    <t>2025-11-20 21:52:00</t>
  </si>
  <si>
    <t>2026年上海将增设40个中高职教育贯通培养模式专业智慧健康养老服务与管理。</t>
  </si>
  <si>
    <t>2025-11-20 17:37:06</t>
  </si>
  <si>
    <t>打开百度APP畅享高清图片市教委介绍，根据《上海市教育委员会关于继续开展中高职教育贯通培养模式试点工作的通知》和《上海市教育委员会关于继续开展中高职教育贯通培养模式试点工作的补充通知》，经学校申报、专家评议及市教委核定，同意2026年增设上海信息技术学校与上海城建职业学院联合举办的人工智能技术应用等40个中高职教育贯通培养模式专业，学生学籍管理和收费标准按相应规定执行，前3年按中职校有关规定管理</t>
  </si>
  <si>
    <t>2025-11-20 17:15:19</t>
  </si>
  <si>
    <t>周到上海</t>
  </si>
  <si>
    <t>上海升学</t>
  </si>
  <si>
    <t>2025-11-20 17:00:00</t>
  </si>
  <si>
    <t>2025-11-20 16:30:00</t>
  </si>
  <si>
    <t>【#2026年上海将增设40个中高职教育贯通培养模式专业#→】@上海教育 介绍，根据《上海市教育委员会关于继续开展中高职教育贯通培养模式试点工作的通知》和《上海市教育委员会关于继续开展中高职教育贯通培</t>
  </si>
  <si>
    <t>2025-11-20 16:01:00</t>
  </si>
  <si>
    <t>新浪微博</t>
  </si>
  <si>
    <t>微博</t>
  </si>
  <si>
    <t>#2026年上海将增设40个中高职教育贯通培养模式专业#→介绍，根据《上海市教育委员会关于继续开展中高职教育贯通培养模式试点工作的通知》和《上海市教育委员会关于继续开展中高职教育贯通培养模式试点工作的补充通知》，经学校申报、专家评议及市教委核定，同意2026年增设上海信息技术学校与上海城建职业学院联合举办的人工智能技术应用等40个中高职教育贯通培养模式专业，学生学籍管理和收费标准按相应规定执行，</t>
  </si>
  <si>
    <t>2025-11-20 15:06:28</t>
  </si>
  <si>
    <t>根据《上海市教育委员会关于继续开展中高职教育贯通培养模式试点工作的通知》和《上海市教育委员会关于继续开展中高职教育贯通培养模式试点工作的补充通知》，经学校申报、专家评议及市教委核定，同意2026年增设上海信息技术学校与上海城建职业学院联合举办的人工智能技术应用等40个中高职教育贯通培养模式专业，学生学籍管理和收费标准按相应规定执行，前3年按中职校有关规定管理，高职阶段按高职院校有关规定管理，盘活</t>
  </si>
  <si>
    <t>2025-11-20 15:02:00</t>
  </si>
  <si>
    <t>荆楚网</t>
  </si>
  <si>
    <t>央视网</t>
  </si>
  <si>
    <t>央视网消息：据“上海发布”公众号消息，上海市教委介绍，根据《上海市教育委员会关于继续开展中高职教育贯通培养模式试点工作的通知》和《上海市教育委员会关于继续开展中高职教育贯通培养模式试点工作的补充通知》，经学校申报、专家评议及市教委核定，同意2026年增设上海信息技术学校与上海城建职业学院联合举办的人工智能技术应用等40个中高职教育贯通培养模式专业，学生学籍管理和收费标准按相应规定执行，前3年按中</t>
  </si>
  <si>
    <t>2025-11-20 14:59:15</t>
  </si>
  <si>
    <t>2025-11-20 14:59:09</t>
  </si>
  <si>
    <t>：据“上海发布”公众号消息，上海市教委介绍，根据《上海市教育委员会关于继续开展中高职教育贯通培养模式试点工作的通知》和《上海市教育委员会关于继续开展中高职教育贯通培养模式试点工作的补充通知》，经学校申报、专家评议及市教委核定，同意2026年增设上海信息技术学校与上海城建职业学院联合举办的人工智能技术应用等40个中高职教育贯通培养模式专业，学生学籍管理和收费标准按相应规定执行，前3年按中职校有关规</t>
  </si>
  <si>
    <t>2025-11-20 14:58:00</t>
  </si>
  <si>
    <t>2025-11-20 14:54:43</t>
  </si>
  <si>
    <t>时讯快报</t>
  </si>
  <si>
    <t>2025-11-20 14:48:26</t>
  </si>
  <si>
    <t>资讯精选</t>
  </si>
  <si>
    <t>2025-11-20 14:45:00</t>
  </si>
  <si>
    <t>光明网</t>
  </si>
  <si>
    <t>2025-11-20 14:43:52</t>
  </si>
  <si>
    <t>2025-11-20 14:43:00</t>
  </si>
  <si>
    <t>2025-11-20 14:41:00</t>
  </si>
  <si>
    <t>中安在线</t>
  </si>
  <si>
    <t>　　央视网消息：据“上海发布”公众号消息，上海市教委介绍，根据《上海市教育委员会关于继续开展中高职教育贯通培养模式试点工作的通知》和《上海市教育委员会关于继续开展中高职教育贯通培养模式试点工作的补充通知》，经学校申报、专家评议及市教委核定，同意2026年增设上海信息技术学校与上海城建职业学院联合举办的人工智能技术应用等40个中高职教育贯通培养模式专业，学生学籍管理和收费标准按相应规定执行，前3年</t>
  </si>
  <si>
    <t>转自：央视网央视网消息：据“上海发布”公众号消息，上海市教委介绍，根据《上海市教育委员会关于继续开展中高职教育贯通培养模式试点工作的通知》和《上海市教育委员会关于继续开展中高职教育贯通培养模式试点工作的补充通知》，经学校申报、专家评议及市教委核定，同意2026年增设上海信息技术学校与上海城建职业学院联合举办的人工智能技术应用等40个中高职教育贯通培养模式专业，学生学籍管理和收费标准按相应规定执行</t>
  </si>
  <si>
    <t>2025-11-20 14:38:31</t>
  </si>
  <si>
    <t>一点资讯</t>
  </si>
  <si>
    <t>2025-11-20 14:38:00</t>
  </si>
  <si>
    <t>2025-11-20 14:32:54</t>
  </si>
  <si>
    <t>北青网</t>
  </si>
  <si>
    <t>2025-11-20 14:27:13</t>
  </si>
  <si>
    <t>2025-11-20 14:27:00</t>
  </si>
  <si>
    <t>2025-11-20 14:11:57</t>
  </si>
  <si>
    <t>本文转自：央视网央视网消息：据“上海发布”公众号消息，上海市教委介绍，根据《上海市教育委员会关于继续开展中高职教育贯通培养模式试点工作的通知》和《上海市教育委员会关于继续开展中高职教育贯通培养模式试点工作的补充通知》，经学校申报、专家评议及市教委核定，同意2026年增设上海信息技术学校与上海城建职业学院联合举办的人工智能技术应用等40个中高职教育贯通培养模式专业，学生学籍管理和收费标准按相应规定</t>
  </si>
  <si>
    <t>齐鲁晚报</t>
  </si>
  <si>
    <t>2026年上海将增设40个中高职教育贯通培养模式专业，　　央视网消息：据“上海发布”公众号消息，上海市教委介绍，根据《上海市教育委员会关于继续开展中高职教育贯通培养模式试点工作的通知》和《上海市教育委员会关于继续开展中高职教育贯通培养模式试点工作的补充通知》，经学校申报、专家评议及市教委核定，同意2026年增设上海信息技术学校与上海城建职业学院联合举办的人工智能技术应用等40个中高职教育贯通培养</t>
  </si>
  <si>
    <t>2025-11-20 14:09:44</t>
  </si>
  <si>
    <t>2025-11-20 14:09:00</t>
  </si>
  <si>
    <t>2025-11-20 12:01:00</t>
  </si>
  <si>
    <t>根据《上海市教育委员会关于继续开展中高职教育贯通培养模式试点工作的通知》和《上海市教育委员会关于继续开展中高职教育贯通培养模式试点工作的补充通知》，经学校申报、专家评议及市教委核定，同意2026年增设上海信息技术学校与上海城建职业学院联合举办的人工智能技术应用等40个中高职教育贯通培养模式专业，学生学籍管理和收费标准按相应规定执行，前3年按中职校有关规定管理，高职阶段按高职院校有关规定管理。</t>
  </si>
  <si>
    <t>村民文化节，好玩好看还好学！</t>
  </si>
  <si>
    <t>2025-11-20 11:31:00</t>
  </si>
  <si>
    <t>近日，庙镇庙中村“乡约宜居庙中，发现美好生活”第一届村民文化节举行，近500名村民欢聚一堂，李大爷带着孙子体验竹编技艺时感慨道现在的孩子很少接触这些传统手艺，这样的活动能让他们近距离接触本土文化，比看书印象深多了！，文艺演出、法治宣传、文化体验、互动游戏四大板块轮番登场，一场家门口的文化盛宴，让乡村满溢烟火气与幸福感，文化节在村民自编自导的舞蹈《开门红》中拉开序幕，欢快的节奏瞬间点燃全场氛围，沪</t>
  </si>
  <si>
    <t>2025-11-20 11:17:06</t>
  </si>
  <si>
    <t>2025-11-20 11:17:00</t>
  </si>
  <si>
    <t>2025-11-20 11:10:54</t>
  </si>
  <si>
    <t>徐汇通</t>
  </si>
  <si>
    <t>中本贯通+16，中高贯通+40，上海加速布局普职融通</t>
  </si>
  <si>
    <t>2025-11-20 05:10:56</t>
  </si>
  <si>
    <t>解放日报 李蕾</t>
  </si>
  <si>
    <t>11月19日，上海市教委官网发布了《上海市教育委员会关于2026年增设中高职教育贯通培养模式工作的批复》，，加上之前发布的《上海市教育委员会关于2026年增设中等职业教育—应用本科专业贯通培养模式工作的批复》，，上海2026年中考将增设16个中本贯通专业点、40个中高贯通专业点，　　上海几乎每年都增设中高贯通、中本贯通专业点，加速布局不同层次普通教育与职业教育的有效融通，在2025年，上海增设中</t>
  </si>
  <si>
    <t>2025-11-19 22:18:06</t>
  </si>
  <si>
    <t>11月19日，上海市教委官网发布了《上海市教育委员会关于2026年增设中高职教育贯通培养模式工作的批复》，，加上之前发布的《上海市教育委员会关于2026年增设中等职业教育—应用本科专业贯通培养模式工作的批复》，，上海2026年中考将增设16个中本贯通专业点、40个中高贯通专业点，上海几乎每年都增设中高贯通、中本贯通专业点，加速布局不同层次普通教育与职业教育的有效融通，在2025年，上海增设中本贯</t>
  </si>
  <si>
    <t>2025-11-19 22:05:24</t>
  </si>
  <si>
    <t>2025-11-19 22:02:17</t>
  </si>
  <si>
    <t>2025-11-19 21:59:13</t>
  </si>
  <si>
    <t>2025-11-19 21:59:00</t>
  </si>
  <si>
    <t>2025-11-19 21:58:48</t>
  </si>
  <si>
    <t>2025-11-19 21:58:00</t>
  </si>
  <si>
    <t>2025-11-19 18:31:00</t>
  </si>
  <si>
    <t>全国一等奖！长沙这所中职学校在金砖国家技能发展与技术创新大赛创佳绩</t>
  </si>
  <si>
    <t>2025-11-19 12:10:18</t>
  </si>
  <si>
    <t>潇湘晨报</t>
  </si>
  <si>
    <t>11月15日，2025一带一路暨金砖国家技能发展与技术创新大赛首届信创适配及安全管理赛项全国总决赛在上海电子信息职业技术学院落幕，本次大赛汇聚了全国中高职院校126支参赛队伍同场竞技，由长沙高新技术工程学校全胜、汤权、张有志等老师指导，24403班周鸿颖、朱瑞杰、马康、罗意飞四位同学组成的两支参赛队，在比赛中凭借扎实的技能功底与出色的团队协作，历经激烈角逐，最终周鸿颖、朱瑞杰代表队荣获全国一等奖</t>
  </si>
  <si>
    <t>2025-11-19 12:04:24</t>
  </si>
  <si>
    <t>潇湘晨报·晨视频</t>
  </si>
  <si>
    <t>2025-11-19 12:03:07</t>
  </si>
  <si>
    <t>2025-11-19 12:03:04</t>
  </si>
  <si>
    <t>2025-11-19 12:03:00</t>
  </si>
  <si>
    <t>陕西省延安精神宣讲团到上海电子信息职业技术学院作主题宣讲</t>
  </si>
  <si>
    <t>2025-11-17 15:19:23</t>
  </si>
  <si>
    <t>中国报道</t>
  </si>
  <si>
    <t>做挺膺担当奋斗者”宣传教育暨“给00后讲讲使命担当”主题宣讲活动在学校C108报告厅成功举行，纪委书记丁磊在致辞中指出延安精神是我们党的宝贵精神财富，蕴含着坚定正确的政治方向、解放思想、实事求是的思想路线、全心全意为人民服务的根本宗旨以及自力更生、艰苦奋斗的创业精神，活动特邀陕西省延安精神宣讲团到上海电子信息职业技术学院开展“弘扬延安精神，他勉励师生从延安精神中汲取信仰力量，怀爱国之心、立报国之</t>
  </si>
  <si>
    <t>观·有闻丨浙江交通技师学院荣获“2024-2025中马教育国际合作卓越贡献奖”</t>
  </si>
  <si>
    <t>2025-11-17 14:32:49</t>
  </si>
  <si>
    <t>学习强国</t>
  </si>
  <si>
    <t>近日，第二届中马国际产教合作论坛暨第四届中国-马来西亚职业教育展在上海电子信息职业技术学院举办，在备受关注的颁奖仪式上，浙江交通技师学院荣获，“2024-2025中马教育国际合作卓越贡献奖”，这是对该校多年来推进中马职教交流合作的高度肯定，中马建交50周年来，两国在教育领域的合作日益深化，截至目前，学校已成功举办两期马来西亚青年职业教育培训班，累计培养40名学员，培训内容聚焦新能源汽车检测与维修</t>
  </si>
  <si>
    <t>2025年全国大学生数学建模竞赛获奖统计，武汉高校成最大赢家</t>
  </si>
  <si>
    <t>2025-11-15 10:54:36</t>
  </si>
  <si>
    <t>长江云新闻</t>
  </si>
  <si>
    <t>近日，2025年高教社杯全国大学生数学建模竞赛获奖名单已正式发布，本次竞赛本科组共获奖1498项，其中一等奖294项、二等奖1204项；高职组获奖418项，其中一等奖91项、二等奖327项，2025高教社杯全国大学生数学建模竞赛获奖统计。</t>
  </si>
  <si>
    <t>金山区着力打造现代化转型新高地，持续建设“三个百里”上海后花园</t>
  </si>
  <si>
    <t>2025-11-15 09:02:16</t>
  </si>
  <si>
    <t>长三角城市网</t>
  </si>
  <si>
    <t>11月13日上午，市政府新闻办举行“实干绘答卷接力新蓝图”上海“十四五”规划成果系列新闻发布会第十二场，围绕“着力打造现代化转型新高地，持续建设‘三个百里’上海后花园”主题，金山区委书记刘健介绍金山区“十四五”期间建设发展成果，  党的二十届四中全会指出实现社会主义现代化是一个阶梯式递进、不断发展进步的历史过程，区委常委、常务副区长邱运理，区发展改革委主任陈干新，区生态环境局局长褚慧，区文化旅游</t>
  </si>
  <si>
    <t>撕掉三个旧标签，上海金山现代化转型如何探索新路子？</t>
  </si>
  <si>
    <t>2025-11-15 06:28:28</t>
  </si>
  <si>
    <t>上海热线</t>
  </si>
  <si>
    <t>商业媒体,传媒娱乐</t>
  </si>
  <si>
    <t>11月13日上午，上海市政府新闻办举行“实干绘答卷，金山区委书记刘健表示金山区地处杭州湾畔，是上海的西南门户，既是先进制造业重要承载区，也是乡村振兴先行区，接力新蓝图”上海“十四五”规划成果系列新闻发布会第12场，围绕“着力打造现代化转型新高地，持续建设‘三个百里’上海后花园”，介绍金山区“十四五”期间建设发展成果，第一，五年转型塑形，产业发展呈现向好向新的势头，金山区全力顶住外部经济形势变化带</t>
  </si>
  <si>
    <t>2025-11-14 16:46:20</t>
  </si>
  <si>
    <t>上海金山：“十四五”以来累计落地20个投资总量超十亿元项目</t>
  </si>
  <si>
    <t>2025-11-13 20:34:46</t>
  </si>
  <si>
    <t>11月13日，上海市政府新闻办举行“实干绘答卷，党的二十届四中全会指出实现社会主义现代化是一个阶梯式递进、不断发展进步的历史过程，接力新蓝图”上海“十四五”规划成果系列新闻发布会第十二场，围绕“着力打造现代化转型新高地，持续建设‘三个百里’上海后花园”主题，金山区委书记刘健介绍金山区“十四五”期间建设发展成果，刘健介绍，金山区地处杭州湾畔，是上海的西南门户，既是先进制造业重要承载区，也是乡村振兴</t>
  </si>
  <si>
    <t>2025-11-13 20:27:02</t>
  </si>
  <si>
    <t>2025-11-13 20:10:48</t>
  </si>
  <si>
    <t>上海金山: “十四五”以来累计落地20个投资总量超十亿元项目</t>
  </si>
  <si>
    <t>UC</t>
  </si>
  <si>
    <t>11月13日，上海市政府新闻办举行“实干绘答卷接力新蓝图”上海“十四五”规划成果系列新闻发布会第十二场，围绕“着力打造现代化转型新高地，持续建设‘三个百里’上海后花园”主题，金山区委书记刘健介绍金山区“十四五”期间建设发展成果，党的二十届四中全会指出实现社会主义现代化是一个阶梯式递进、不断发展进步的历史过程，刘健介绍，金山区地处杭州湾畔，是上海的西南门户，既是先进制造业重要承载区，也是乡村振兴先</t>
  </si>
  <si>
    <t>2025-11-13 20:10:00</t>
  </si>
  <si>
    <t>11月13日，上海市政府新闻办举行“实干绘答卷，党的二十届四中全会指出实现社会主义现代化是一个阶梯式递进、不断发展进步的历史过程，接力新蓝图”上海“十四五”规划成果系列新闻发布会第十二场，围绕“著力打造现代化转型新高地，持续建设‘三个百里’上海后花园”主题，金山区委书记刘健介绍金山区“十四五”期间建设发展成果，刘健介绍，金山区地处杭州湾畔，是上海的西南门户，既是先进制造业重要承载区，也是乡村振兴</t>
  </si>
  <si>
    <t>金山区“十四五”答卷亮眼：转型成果助力现代化建设加速</t>
  </si>
  <si>
    <t>2025-11-13 19:39:28</t>
  </si>
  <si>
    <t>国际金融报</t>
  </si>
  <si>
    <t>11月13日，上海市政府新闻办举行“实干绘答卷，金山区委书记刘健介绍称金山区地处杭州湾畔，是上海的西南门户，既是先进制造业重要承载区，也是乡村振兴先行区，接力新蓝图”上海“十四五”规划成果系列新闻发布会金山区专场，围绕“着力打造现代化转型新高地，持续建设‘三个百里’上海后花园”，介绍金山区“十四五”期间建设发展成果，金山区全力顶住外部经济形势变化带来的压力，着力克服化工产业周期性影响，加快新旧动</t>
  </si>
  <si>
    <t>2025-11-13 19:39:06</t>
  </si>
  <si>
    <t>潘洁</t>
  </si>
  <si>
    <t>市政府新闻发布会介绍金山区“十四五”期间建设发展成果</t>
  </si>
  <si>
    <t>2025-11-13 16:39:04</t>
  </si>
  <si>
    <t>接力新蓝图”上海“十四五”规划成果系列新闻发布会第十二场，围绕“着力打造现代化转型新高地，持续建设‘三个百里’上海后花园”主题，金山区委书记刘健介绍金山区“十四五”期间建设发展成果，  党的二十届四中全会指出实现社会主义现代化是一个阶梯式递进、不断发展进步的历史过程，区委常委、常务副区长邱运理，区发展改革委主任陈干新，区生态环境局局长褚慧，区文化旅游局局长王民民共同出席新闻发布会，并回答记者提问</t>
  </si>
  <si>
    <t>2025-11-13 16:38:56</t>
  </si>
  <si>
    <t>【社区治理】老赵的银发“朋友圈”,很“潮”!</t>
  </si>
  <si>
    <t>2025-11-13 15:53:26</t>
  </si>
  <si>
    <t>何郁柠、谭奕茂</t>
  </si>
  <si>
    <t>一台相机、一部手机，72岁的周家桥社区摄影达人赵银交，始终用镜头记录着街区的点滴变化，赵银交所说的这座新建的社区文化活动中心，是我亲眼看着建起来的。我家就在旁边，以前是个学校（上海电子信息职业技术学院），没想到现在变成了我们社区家门口的一个会客厅。赵银交笑着说以前娱乐休闲得跑老远，现在好了，走几步就到。健身房、图书馆、小剧场样样俱全。戏曲、文艺活动也特别多。86岁的蔡金花女士站在自己的画作前娓娓</t>
  </si>
  <si>
    <t>“十四五”，上海金山专精特新企业增长3.7倍，每万人发明专利拥有量翻一番</t>
  </si>
  <si>
    <t>2025-11-13 15:08:05</t>
  </si>
  <si>
    <t>过去五年，金山区科技创新活力迸发，全区高新技术企业增长39.5%，专精特新企业增长375.3%，每万人发明专利拥有量实现翻番，PCT国际专利申请量增长近11倍，技术合同成交金额增长7.7倍……这是记者从今天，金山区领导坦言转型发展是金山现代化建设的华山一条路，它开始于金山地区环境综合整治和碳谷绿湾局部地区整体转型，升级于2021年市十四五规划提出的南北转型战略布局，经历了一个由被动转到主动转、由</t>
  </si>
  <si>
    <t>2025-11-13 14:56:14</t>
  </si>
  <si>
    <t>2025-11-13 14:55:25</t>
  </si>
  <si>
    <t>解放日报 黄勇娣</t>
  </si>
  <si>
    <t>2025-11-13 14:55:00</t>
  </si>
  <si>
    <t>原创舞台剧《“波浪”的御者——章梓雄院士》首场演出在上海电子信息职业技术学院成功举行</t>
  </si>
  <si>
    <t>2025-11-13 14:18:13</t>
  </si>
  <si>
    <t>中国网</t>
  </si>
  <si>
    <t>11月10日，原创舞台剧《“波浪”的御者章梓雄院士》在上海电子信息职业技术学院奉贤校区成功首演，该舞台剧由上海电子信息职业技术学院师生团队原创，以该校办学历史上的香港工程科学院院士校友、流体力学及水动力学专家章梓雄先生为人物原型进行改编，讲述其坚守“建设祖国”的初心，展现其严谨治学、开拓创新、淡泊名利、薪火传承的精神品质，激励青年学子投身科学事业，章梓雄是国际知名流体力学专家，是香港工程科学院院</t>
  </si>
  <si>
    <t>【新闻发布会】着力打造现代化转型新高地,持续建设“三个百里”上海后花园!看金山“十四五”如何聚势育新,提能增质</t>
  </si>
  <si>
    <t>2025-11-13 12:27:38</t>
  </si>
  <si>
    <t>接力新蓝图”上海“十四五”规划成果系列新闻发布会第十二场，围绕“着力打造现代化转型新高地，持续建设‘三个百里’上海后花园”主题，金山区委书记刘健介绍金山区“十四五”期间建设发展成果，党的二十届四中全会指出实现社会主义现代化是一个阶梯式递进、不断发展进步的历史过程，区委常委、常务副区长邱运理，区发展改革委主任陈干新，区生态环境局局长褚慧，区文化旅游局局长王民民共同出席新闻发布会，并回答记者提问，金</t>
  </si>
  <si>
    <t>2025-11-13 12:14:38</t>
  </si>
  <si>
    <t>2025-11-13 11:21:54</t>
  </si>
  <si>
    <t>2025-11-13 11:12:30</t>
  </si>
  <si>
    <t>2025-11-13 11:12:14</t>
  </si>
  <si>
    <t>2025-11-13 11:12:00</t>
  </si>
  <si>
    <t>撕掉三个旧标签, 上海金山现代化转型如何探索新路子?</t>
  </si>
  <si>
    <t>2025-11-13 11:10:54</t>
  </si>
  <si>
    <t>11月13日上午，上海市政府新闻办举行“实干绘答卷接力新蓝图”上海“十四五”规划成果系列新闻发布会第12场，围绕“着力打造现代化转型新高地，持续建设‘三个百里’上海后花园”，介绍金山区“十四五”期间建设发展成果，金山区委书记刘健表示金山区地处杭州湾畔，是上海的西南门户，既是先进制造业重要承载区，也是乡村振兴先行区，第一，五年转型塑形，产业发展呈现向好向新的势头，金山区全力顶住外部经济形势变化带来</t>
  </si>
  <si>
    <t>2025-11-13 11:10:00</t>
  </si>
  <si>
    <t>凤凰网</t>
  </si>
  <si>
    <t>着力打造现代化转型新高地，持续建设“三个百里”上海后花园！看金山“十四五”如何聚势育新，提能增质→</t>
  </si>
  <si>
    <t>2025-11-13 11:03:12</t>
  </si>
  <si>
    <t>2025-11-13 11:00:00</t>
  </si>
  <si>
    <t>接力新蓝图”上海“十四五”规划成果系列新闻发布会第十二场，围绕“着力打造现代化转型新高地，持续建设‘三个百里’上海后花园”主题，金山区委书记刘健介绍金山区“十四五”期间建设发展成果，党的二十届四中全会指出实现社会主义现代化是一个阶梯式递进、不断发展进步的历史过程，区委常委、常务副区长邱运理，区发展改革委主任陈干新，区生态环境局局长褚慧，区文化旅游局局长王民民共同出席新闻发布会，并回答记者提问，视</t>
  </si>
  <si>
    <t>着力打造现代化转型新高地，持续建设“三个百里”上海后花园！看金山“十四五”如何聚势育新，提能增质</t>
  </si>
  <si>
    <t>2025-11-13 10:55:49</t>
  </si>
  <si>
    <t>【着力打造现代化转型新高地，持续建设“三个百里”上海后花园！看金山“十四五”如何聚势育新，提能增质→】今天（11月13日）上午，市政府新闻办举行“实干绘答卷 接力新蓝图”上海“十四五”规划成果系列新闻</t>
  </si>
  <si>
    <t>2025-11-13 10:51:57</t>
  </si>
  <si>
    <t>接力新蓝图”上海“十四五”规划成果系列新闻发布会第十二场，围绕“着力打造现代化转型新高地，持续建设‘三个百里’上海后花园”主题，金山区委书记刘健介绍金山区“十四五”期间建设发展成果，区委常委、常务副区长邱运理，区发展改革委主任陈干新，区生态环境局局长褚慧，区文化旅游局局长王民民共同出席新闻发布会，并回答记者提问，#建设人民城市共筑美好生活#金山区地处杭州湾畔，是上海的西南门，2024年，全区地区</t>
  </si>
  <si>
    <t>2025-11-13 10:48:31</t>
  </si>
  <si>
    <t>2025-11-13 10:33:51</t>
  </si>
  <si>
    <t>我的长宁·我的家丨老赵的银发朋友圈，很“潮”！</t>
  </si>
  <si>
    <t>2025-11-12 20:07:29</t>
  </si>
  <si>
    <t>2025-11-12 19:52:00</t>
  </si>
  <si>
    <t>2025-11-12 16:30:00</t>
  </si>
  <si>
    <t>2025-11-12 16:25:06</t>
  </si>
  <si>
    <t>中国日报网</t>
  </si>
  <si>
    <t>2025-11-12 16:24:00</t>
  </si>
  <si>
    <t>2025-11-12 15:17:56</t>
  </si>
  <si>
    <t>舒靓</t>
  </si>
  <si>
    <t>2025-11-12 15:17:00</t>
  </si>
  <si>
    <t>讲好科学家故事,弘扬科学家精神 上海电子信息职业学院原创舞台剧《“波浪”的御者》成功演出</t>
  </si>
  <si>
    <t>2025-11-12 10:40:42</t>
  </si>
  <si>
    <t>企业家日报社</t>
  </si>
  <si>
    <t>11月10日，上海电子信息职业技术学院原创舞台剧《“波浪”的御者-章梓雄院士》在该校新实训大楼一楼报告厅首场成功演出，本次演出活动得到了上级科协与社会各界的高度支持与广泛关注，来自奉贤区科委党组成员、科协副主席李杰，中国科学院上海光学精密机械研究所研究员、博士生导师向世清，中国人民大学－西湖大学未来人类研究院首期青年观察员、中国文艺评论家协会会员、第36届大众电影百花奖评委、上海电影评论学会理事</t>
  </si>
  <si>
    <t>第八届进博会志愿者离园仪式暖心举行，青春不散场，山海自回响</t>
  </si>
  <si>
    <t>2025-11-11 11:35:18</t>
  </si>
  <si>
    <t>昨天，数千名“小叶子”齐聚东登录厅长廊步道，在欢笑与掌声中，为这段奉献与成长的进博之旅画上圆满句号，吴恺/图昨日晚间，第八届中国国际进口博览会志愿者离园仪式在国家会展中心8米层东登录厅长廊步道举行，在圆满完成各项服务保障任务后，数千名“小叶子”齐聚一堂，在欢笑与感动中，为这段难忘的进博之旅画上圆满句号，仪式现场气氛热烈而温馨，长廊步道上，志愿者手持纪念牌，彼此欢呼送别，现场乐队奏响熟悉的旋律，唤</t>
  </si>
  <si>
    <t>上海电子信息职业技术学院举办职教思政教研活动</t>
  </si>
  <si>
    <t>2025-11-11 11:12:13</t>
  </si>
  <si>
    <t>11月5日下午，上海市职业学校思政课建设协作组“毛泽东思想和中国特色社会主义理论体系概论”，职业精神等核心素养的教学目标进行了说课创立和发展毛泽东思想，大家一致认为此次活动为促进各学段思政课教学的有效衔接、提升思政课育人实效提供了重要平台，虚拟教研室“中高本思政教学一体化建设”集体说课备课会，在上海电子信息职业技术学院举办，会议旨在集思广益、协同攻坚，一体推进“毛概”课教学向更深、更活、更实的方</t>
  </si>
  <si>
    <t>2025-11-11 11:09:00</t>
  </si>
  <si>
    <t>2025-11-11 10:58:32</t>
  </si>
  <si>
    <t>进博会志愿者离园仪式送别第八届“小叶子” 唱响青春之歌，相约明年再见</t>
  </si>
  <si>
    <t>2025-11-11 09:16:53</t>
  </si>
  <si>
    <t>记者 陈嘉音 刘秦春</t>
  </si>
  <si>
    <t>    昨日晚间，第八届中国国际进口博览会志愿者离园仪式在国家会展中心8米层东登录厅长廊步道举行，在圆满完成各项服务保障任务后，数千名“小叶子”齐聚一堂，在欢笑与感动中，为这段难忘的进博之旅画上圆满句号，    仪式现场气氛热烈而温馨，长廊步道上，志愿者手持纪念牌，彼此欢呼送别，现场乐队奏响熟悉的旋律，唤起大家共同奋战过的日与夜，掌声与欢呼此起彼伏，    青年报记者 陈嘉音 刘秦春    “向</t>
  </si>
  <si>
    <t>第八届进博会志愿者离园仪式暖心举行 青春不散场，山海自回响</t>
  </si>
  <si>
    <t>    昨天，数千名“小叶子”齐聚东登录厅长廊步道，在欢笑与掌声中，为这段奉献与成长的进博之旅画上圆满句号，在圆满完成各项服务保障任务后，数千名“小叶子”齐聚一堂，在欢笑与感动中，为这段难忘的进博之旅画上圆满句号，    仪式现场气氛热烈而温馨，长廊步道上，志愿者手持纪念牌，彼此欢呼送别，现场乐队奏响熟悉的旋律，唤起大家共同奋战过的日与夜，掌声与欢呼此起彼伏，    青年报记者 陈嘉音 刘秦春 </t>
  </si>
  <si>
    <t>青春不散场，山海自回响</t>
  </si>
  <si>
    <t>2025-11-11 00:00:00</t>
  </si>
  <si>
    <t>本文转自：青年报第八届进博会志愿者离园仪式暖心举行青春不散场，山海自回响记者，齐聚东登录厅长廊步道在欢笑与掌声中，为这段奉献与成长的进博之旅画上圆满句号，刘秦春昨天，数千名“小叶子”齐聚东登录厅长廊步道，在欢笑与掌声中，为这段奉献与成长的进博之旅画上圆满句号，本版摄影 青年报记者 吴恺昨日晚间，第八届中国国际进口博览会志愿者离园仪式在国家会展中心8米层东登录厅长廊步道举行，在圆满完成各项服务保障</t>
  </si>
  <si>
    <t>唱响青春之歌，相约明年再见</t>
  </si>
  <si>
    <t>本文转自：青年报进博会志愿者离园仪式送别第八届“小叶子”唱响青春之歌，相约明年再见记者，青年报记者 吴恺 摄昨日晚间，第八届中国国际进口博览会志愿者离园仪式在国家会展中心8米层东登录厅长廊步道举行，在圆满完成各项服务保障任务后，数千名“小叶子”齐聚一堂，在欢笑与感动中，为这段难忘的进博之旅画上圆满句号，仪式现场气氛热烈而温馨，长廊步道上，志愿者手持纪念牌，彼此欢呼送别，现场乐队奏响熟悉的旋律，唤</t>
  </si>
  <si>
    <t>听，进博会上的“创新三重奏”</t>
  </si>
  <si>
    <t>2025-11-10 14:47:00</t>
  </si>
  <si>
    <t>11月5日—10日，第八届中国国际进口博览会在上海举行，该公司副总裁靳辉说这是为脑卒中患者研发的运动康复训练系统，患者戴上脑机接口设备后，想象的信号就会产生脑电波，被设备捕捉，然后驱动机械手带动患者已经偏瘫的手。新思科技AI研发工程师周韧研说这些都是中小学生的科技作品。新思科技AI研发工程师周韧研说从2022年起新思科技推出芯片教育计划，把前沿的芯片知识引入课堂，让青少年亲自动手体验芯片和智能系</t>
  </si>
  <si>
    <t>“小叶子”在进博会日行5万步，机器人搭子为他们减负</t>
  </si>
  <si>
    <t>2025-11-10 14:28:27</t>
  </si>
  <si>
    <t>吴恺/图从首届进博会开始，志愿者“小叶子”的服务工作就以暴走场馆而闻名，章乐妍告诉记者走路最多的时候她一天要走3.2万多步，今年，在第八届进博会场馆内，相信有不少小伙伴看到有“小叶子”穿上了显眼的新装备，据记者现场了解，这是团市委为“小叶子”准备的轻量化外骨骼机器人，它可以通过托举小叶子的腿，降低腿部疲劳度，让志愿者在场馆间行走服务更轻松，//这款轻量化外骨骼机器人是由中国电子科技集团公司第二十</t>
  </si>
  <si>
    <t>【听，进博会上的“创新三重奏”——第八届中国国际进口博览会观察】黄浦江畔，创新涌动。11月5日—10日，第八届中国国际进口博览会在上海举行。 　　没有方向盘和脚踏板的自动驾驶汽车、灵活跃动的人形机器人</t>
  </si>
  <si>
    <t>2025-11-10 14:00:00</t>
  </si>
  <si>
    <t>中国教育报</t>
  </si>
  <si>
    <t>听，进博会上的“创新三重奏”——第八届中国国际进口博览会观察黄浦江畔，创新涌动，该公司副总裁靳辉说这是为脑卒中患者研发的运动康复训练系统，患者戴上脑机接口设备后，想象的信号就会产生脑电波，被设备捕捉，然后驱动机械手带动患者已经偏瘫的手。新思科技AI研发工程师周韧研说这些都是中小学生的科技作品。新思科技AI研发工程师周韧研说从2022年起新思科技推出芯片教育计划，把前沿的芯片知识引入课堂，让青少年</t>
  </si>
  <si>
    <t>2025-11-10 13:53:50</t>
  </si>
  <si>
    <t>听，进博会上的“创新三重奏”——第八届中国国际进口博览会观察</t>
  </si>
  <si>
    <t>2025-11-10 11:00:00</t>
  </si>
  <si>
    <t>听，进博会上的“创新三重奏”→</t>
  </si>
  <si>
    <t>2025-11-10 10:36:12</t>
  </si>
  <si>
    <t>11月5日—10日，第八届中国国际进口博览会在上海举行，该公司副总裁靳辉说这是为脑卒中患者研发的运动康复训练系统，患者戴上脑机接口设备后，想象的信号就会产生脑电波，被设备捕捉，然后驱动机械手带动患者已经偏瘫的手。总裁靳辉说这几所高校在脑机接口领域实力雄厚，我们合作得非常深入，新思科技AI研发工程师周韧研说这些都是中小学生的科技作品。新思科技AI研发工程师周韧研说从2022年起新思科技推出芯片教育</t>
  </si>
  <si>
    <t>2025-11-10 10:28:43</t>
  </si>
  <si>
    <t>【听，进博会上的“创新三重奏”—— 第八届中国国际进口博览会观察】 　　黄浦江畔，创新涌动。11月5日—10日，第八届中国国际进口博览会在上海举行。 　　没有方向盘和脚踏板的自动驾驶汽车、灵活跃动的人</t>
  </si>
  <si>
    <t>2025-11-10 10:19:36</t>
  </si>
  <si>
    <t>中国教育新闻网</t>
  </si>
  <si>
    <t>11月5日—10日，第八届中国国际进口博览会在上海举行，该公司副总裁靳辉说这是为脑卒中患者研发的运动康复训练系统，患者戴上脑机接口设备后，想象的信号就会产生脑电波，被设备捕捉，然后驱动机械手带动患者已经偏瘫的手。　　没有方向盘和脚踏板的自动驾驶汽车、灵活跃动的人形机器人……这届进博会更加注重创新突破，展示了461项新产品、新技术、新服务，俨然是全球创新成果的“首秀场”，　　连日来，记者穿梭在各个</t>
  </si>
  <si>
    <t>【听，进博会上的“创新三重奏”—— 第八届中国国际进口博览会观察】 黄浦江畔，创新涌动。</t>
  </si>
  <si>
    <t>2025-11-10 10:19:03</t>
  </si>
  <si>
    <t>新浪新闻</t>
  </si>
  <si>
    <t>　　【听，进博会上的“创新三重奏”—— 第八届中国国际进口博览会观察】 　　黄浦江畔，创新涌动。11月5日—10日，第八届中国国际进口博览会在上海举行。 　　没有方向盘和脚踏板的自动驾驶汽车、灵活跃动</t>
  </si>
  <si>
    <t>2025-11-10 10:01:02</t>
  </si>
  <si>
    <t>云南网</t>
  </si>
  <si>
    <t>2025-11-10 09:53:15</t>
  </si>
  <si>
    <t>2025-11-10 09:52:35</t>
  </si>
  <si>
    <t>2025-11-10 09:43:46</t>
  </si>
  <si>
    <t>2025-11-10 09:36:39</t>
  </si>
  <si>
    <t>本报记者 欧媚</t>
  </si>
  <si>
    <t>听，进博会上的“创新三重奏” —— 第八届中国国际进口博览会观察</t>
  </si>
  <si>
    <t>2025-11-10 09:35:52</t>
  </si>
  <si>
    <t>2025-11-10 09:32:44</t>
  </si>
  <si>
    <t>第八届中国国际进口博览会观察黄浦江畔，创新涌动，该公司副总裁靳辉说这是为脑卒中患者研发的运动康复训练系统，患者戴上脑机接口设备后，想象的信号就会产生脑电波，被设备捕捉，然后驱动机械手带动患者已经偏瘫的手。新思科技AI研发工程师周韧研说这些都是中小学生的科技作品。新思科技AI研发工程师周韧研说从2022年起新思科技推出芯片教育计划，把前沿的芯片知识引入课堂，让青少年亲自动手体验芯片和智能系统的设计</t>
  </si>
  <si>
    <t>2025-11-10 09:32:00</t>
  </si>
  <si>
    <t>邱晓琴</t>
  </si>
  <si>
    <t>光明云媒</t>
  </si>
  <si>
    <t>2025-11-10 08:53:29</t>
  </si>
  <si>
    <t>2025-11-10 08:50:56</t>
  </si>
  <si>
    <t>2025-11-10 08:46:00</t>
  </si>
  <si>
    <t>听，进博会上的“创新三重奏”—— 第八届中国国际进口博览会观察</t>
  </si>
  <si>
    <t>2025-11-10 05:27:32</t>
  </si>
  <si>
    <t>2025-11-10 05:27:29</t>
  </si>
  <si>
    <t>2025-11-10 00:00:00</t>
  </si>
  <si>
    <t>本文转自：中国教育报听，进博会上的“创新三重奏”——，该公司副总裁靳辉说这是为脑卒中患者研发的运动康复训练系统，患者戴上脑机接口设备后，想象的信号就会产生脑电波，被设备捕捉，然后驱动机械手带动患者已经偏瘫的手。新思科技AI研发工程师周韧研说这些都是中小学生的科技作品。新思科技AI研发工程师周韧研说从2022年起新思科技推出芯片教育计划，把前沿的芯片知识引入课堂，让青少年亲自动手体验芯片和智能系统</t>
  </si>
  <si>
    <t>马来西亚副总理莅临！这个中马产教合作论坛在上海电子信息职院举办</t>
  </si>
  <si>
    <t>2025-11-09 17:01:00</t>
  </si>
  <si>
    <t>11月7日，第二届中马国际产教合作论坛暨第四届中国—马来西亚职业教育展在上海电子信息职业技术学院举办，马来西亚副总理兼乡村与区域发展部长艾哈迈德・扎希德・哈米迪亲临现场并发表讲话，扎希德副总理高度肯定了中马职业教育合作的深远价值，他指出，基于信任、共享繁荣以及日益紧密的技术技能合作，中国连续16年稳居马来西亚最大贸易伙伴之位，职业教育作为马来西亚的国家发展战略，是推动高技能、有韧性的经济发展的主</t>
  </si>
  <si>
    <t>2025-11-09 15:54:10</t>
  </si>
  <si>
    <t>第一教育</t>
  </si>
  <si>
    <t>上海电子信息职业技术学院招聘电子技术与工程学院院长</t>
  </si>
  <si>
    <t>2025-11-07 19:49:07</t>
  </si>
  <si>
    <t>打开百度APP畅享高清图片上海电子信息职业技术学院2025年度招聘公告第四批次上海电子信息职业技术学院是一所有近60年办学历史的公办全日制普通高等职业院校，聚焦培养电子信息、先进制造业和现代服务业高素质技术技能人才，是“国家示范性高等职业院校建设计划”骨干高职院校、国家优质专科高等职业院校、上海一流专科高等职业教育建设立项单位、上海市示范性高等职业技术院校、上海市职业教育先进单位、上海市依法治校</t>
  </si>
  <si>
    <t>2025-11-07 19:31:00</t>
  </si>
  <si>
    <t>上海电子信息职业技术学院2025年度招聘公告，等荣誉称号国家示范性高等职业院校建设计划，等荣誉称号第四届黄炎培职业教育优秀学校奖，等荣誉称号全国社会扶贫先进集体，等荣誉称号自强不息，开拓创新，砥砺前行，追求卓越，学校赓续“自强不息，开拓创新，砥砺前行，追求卓越”的精神，对接芯片业、通信业、软件业、制造业等电子信息全产业链对高素质劳动者和技术技能人才的需求，自觉履行为党育人、为国育才的使命，打造支</t>
  </si>
  <si>
    <t>进博会里的生日，到底都有谁在过啊？</t>
  </si>
  <si>
    <t>2025-11-07 11:56:42</t>
  </si>
  <si>
    <t>解放日报 林子璐</t>
  </si>
  <si>
    <t>50余名在进博会期间过生日的“小叶子”在岗位服务工作间隙，迎来一场特别的集体生日会，11月6日中午12时，第八届进博会志愿者之家里，50余名在进博会期间过生日的“小叶子”在岗位服务工作间隙，迎来一场特别的集体生日会，身着红色西装、头戴生日帽的一张张青春脸庞，在多人游戏、歌舞表演中凭借默契结交朋友、收获惊喜，又在许下愿望、吃下甜蜜的生日蛋糕后，回到工作岗位，投入忙碌又充实的志愿服务，不少“小叶子”</t>
  </si>
  <si>
    <t>2025-11-07 11:56:00</t>
  </si>
  <si>
    <t>11月6日中午12时，第八届进博会志愿者之家里，50余名在进博会期间过生日的“小叶子”在岗位服务工作间隙，迎来一场特别的集体生日会，身着红色西装、头戴生日帽的一张张青春脸庞，在多人游戏、歌舞表演中凭借默契结交朋友、收获惊喜，又在许下愿望、吃下甜蜜的生日蛋糕后，回到工作岗位，投入忙碌又充实的志愿服务，不少“小叶子”表示，能作为青年志愿者参与进博会这场盛会，开拓眼界，结识友人，幸运又珍贵，进博会举办</t>
  </si>
  <si>
    <t>预告｜全国百所高校本周六走进铜陵</t>
  </si>
  <si>
    <t>2025-11-06 11:09:53</t>
  </si>
  <si>
    <t>安青网</t>
  </si>
  <si>
    <t>安徽青年报2025年度安徽省高招宣传研讨会。</t>
  </si>
  <si>
    <t>2025-11-06 10:55:00</t>
  </si>
  <si>
    <t>文章部分图文版权归原创作者所有，如有侵权请与我们联系删除安徽青年报社新媒体矩阵。</t>
  </si>
  <si>
    <t>探索“理论＋实践＋企业对接”培养模式，全国集成电路职教领军教师齐聚上海</t>
  </si>
  <si>
    <t>2025-11-05 11:34:51</t>
  </si>
  <si>
    <t>近日，来自全国27个省份的49位电子与信息大类专业领军教师齐聚“职教国培”示范项目，在“理论+实践+企业对接”的特色培养模式下，沉浸式解锁集成电路领域前沿技术与教学新方法，为我国集成电路职业教育注入新活力，主办方上海电子信息职业技术学院高度重视本次培训，依托国家级“双师型”教师培训基地资质与“申芯产业学院”平台优势，量身打造了“名师讲堂+专业技术学习+企业返岗实践+总结交流”四大核心模块，构建起</t>
  </si>
  <si>
    <t>探索“理论+实践+企业对接”培养模式，全国集成电路职教领军教师齐聚上海</t>
  </si>
  <si>
    <t>2025-11-05 11:13:36</t>
  </si>
  <si>
    <t>本文转自：-上海频道近日，来自全国27个省份的49位电子与信息大类专业领军教师齐聚“职教国培”示范项目，在“理论+实践+企业对接”的特色培养模式下，沉浸式解锁集成电路领域前沿技术与教学新方法，为我国集成电路职业教育注入新活力，主办方上海电子信息职业技术学院高度重视本次培训，依托国家级“双师型”教师培训基地资质与“申芯产业学院”平台优势，量身打造了“名师讲堂+专业技术学习+企业返岗实践+总结交流”</t>
  </si>
  <si>
    <t>2025-11-05 11:05:31</t>
  </si>
  <si>
    <t>本文转自：人民网-上海频道近日，来自全国27个省份的49位电子与信息大类专业领军教师齐聚“职教国培”示范项目，在“理论+实践+企业对接”的特色培养模式下，沉浸式解锁集成电路领域前沿技术与教学新方法，为我国集成电路职业教育注入新活力，主办方上海电子信息职业技术学院高度重视本次培训，依托国家级“双师型”教师培训基地资质与“申芯产业学院”平台优势，量身打造了“名师讲堂+专业技术学习+企业返岗实践+总结</t>
  </si>
  <si>
    <t>探索“理论+实践+企业对接”培养模式, 全国集成电路职教领军教师齐聚上海</t>
  </si>
  <si>
    <t>转自：人民网－上海频道近日，来自全国27个省份的49位电子与信息大类专业领军教师齐聚“职教国培”示范项目，在“理论+实践+企业对接”的特色培养模式下，沉浸式解锁集成电路领域前沿技术与教学新方法，为我国集成电路职业教育注入新活力，主办方上海电子信息职业技术学院高度重视本次培训，依托国家级“双师型”教师培训基地资质与“申芯产业学院”平台优势，量身打造了“名师讲堂+专业技术学习+企业返岗实践+总结交流</t>
  </si>
  <si>
    <t>2025-11-05 11:05:00</t>
  </si>
  <si>
    <t>市教卫工作党委召开2025年巡察工作动员部署会</t>
  </si>
  <si>
    <t>2025-11-04 21:04:00</t>
  </si>
  <si>
    <t>上海教育</t>
  </si>
  <si>
    <t>11月4日下午，市教卫工作党委召开巡察工作动员部署会，深入学习贯彻习近平总书记关于党的自我革命的重要思想和关于巡视工作、教育的重要论述，对2025年委属单位巡察工作进行部署，会议强调，要提高政治站位，充分认识开展教育系统政治巡察的重要意义，要以坚决的态度、务实的作风、严明的纪律，高标准高质量组织实施好本次巡察工作，会议指出，要围绕巡察监督重点，准确把握被巡察单位特点和在全市教育改革发展中承担的职</t>
  </si>
  <si>
    <t>全国集成电路职教领军教师齐聚，2025“职教国培”示范项目结业</t>
  </si>
  <si>
    <t>2025-11-04 14:27:11</t>
  </si>
  <si>
    <t>10月30日，由上海电子信息职业技术学院主办的2025年“职教国培”示范项目——集成电路领域领军教师示范培训，在该校普陀校区顺利完成为期10天的培训课程并举行结业仪式，院长赵坚指出集成电路作为国家战略性新兴产业，职业教育必须紧跟技术变革趋势，培养更多高素质技术技能人才，为产业发展保驾护航，来自全国27个省份的49位电子与信息大类专业领军教师齐聚一堂，在“理论+实践+企业对接”的特色培养模式下，沉</t>
  </si>
  <si>
    <t>2025-11-04 14:26:00</t>
  </si>
  <si>
    <t>2025-11-04 14:11:32</t>
  </si>
  <si>
    <t>“蓝朋友”+ | 奉贤区举办首届大学生消防志愿者技能交流赛，8支队伍激烈角逐</t>
  </si>
  <si>
    <t>2025-11-04 12:12:14</t>
  </si>
  <si>
    <t>此次交流赛设置个人防护装备穿戴、灭火器灭火、防烟面罩佩戴、绳结自救互助、担架疏散、水枪打靶等多个项目，通过模拟初起火灾扑救、人员自救互助等场景，检验个人技能、团队配合、应急处置、快速展开等综合能力，具有极强的针对性和实战性，参赛队员奋勇争先、协作配合，以熟练精准的动作完成了挑战项目，最终，上海城建职业技术学院代表队获第一名，上海商学院代表队获第二名，上海电子信息职业技术学院代表队获第三名，”参赛</t>
  </si>
  <si>
    <t>“蓝朋友”+｜奉贤区举办首届大学生消防志愿者技能交流赛，8支队伍激烈角逐</t>
  </si>
  <si>
    <t>2025-11-04 12:09:00</t>
  </si>
  <si>
    <t>10月31日，为切实提升大学生消防志愿者队伍的应急处置能力和专业素养，强化火灾预防、初期火灾扑救、火场自救互救等环节的技能水平，上海市奉贤区消防救援支队举办奉贤区首届大学生消防志愿者技能演训及技术交流赛，来自在奉高校的8支大学生消防志愿服务队伍参加此次交流赛，通过模拟初起火灾扑救、人员自救互助等场景，检验个人技能、团队配合、应急处置、快速展开等综合能力，具有极强的针对性和实战性，参赛队员奋勇争先</t>
  </si>
  <si>
    <t>2025-11-04 09:33:42</t>
  </si>
  <si>
    <t>倪冬</t>
  </si>
  <si>
    <t>奉贤区举办首届大学生消防志愿者技能交流赛</t>
  </si>
  <si>
    <t>2025-11-03 22:08:14</t>
  </si>
  <si>
    <t>ZAKER</t>
  </si>
  <si>
    <t>日，奉贤区举行首届大学生消防志愿者技能演训及技术交流赛，来自在奉高校的，参赛选手小李感叹道“ 以前这些方面接触得少，志愿活动也就是上门发发宣传单、讲解一下消防知识，像这样系统性实操还真没有过，真是看起来容易、做起来难，此举旨在切实提升大学生消防志愿者队伍的应急处置能力和专业素养，强化火灾预防、初期火灾扑救、火场自救互救等环节的技能水平，此次交流赛设置个人防护装备穿戴、灭火器灭火、防烟面罩佩戴、绳</t>
  </si>
  <si>
    <t>2025-11-03 21:54:45</t>
  </si>
  <si>
    <t>文汇报 赵立荣</t>
  </si>
  <si>
    <t>10月31日，奉贤区举行首届大学生消防志愿者技能演训及技术交流赛，来自在奉高校的8支大学生消防志愿服务队伍参赛，参赛选手小李感叹道以前这些方面接触得少，志愿活动也就是上门发发宣传单、讲解一下消防知识，像这样系统性实操还真没有过，真是看起来容易、做起来难。这次学到了很多实用的消防本领，获益匪浅。参赛选手小李感叹道据奉贤区消防救援支队介绍，截至目前，注册的奉贤消防志愿者近三万人，今年已累计开展消防志</t>
  </si>
  <si>
    <t>2025-11-03 21:44:51</t>
  </si>
  <si>
    <t>10月31日，奉贤区举行首届大学生消防志愿者技能演训及技术交流赛，来自在奉高校的8支大学生消防志愿服务队伍参赛，参赛选手小李感叹道以前这些方面接触得少，志愿活动也就是上门发发宣传单、讲解一下消防知识，像这样系统性实操还真没有过，真是看起来容易、做起来难。这次学到了很多实用的消防本领，获益匪浅。此举旨在切实提升大学生消防志愿者队伍的应急处置能力和专业素养，强化火灾预防、初期火灾扑救、火场自救互救等</t>
  </si>
  <si>
    <t>2025-11-03 21:42:19</t>
  </si>
  <si>
    <t>2025-11-03 21:41:09</t>
  </si>
  <si>
    <t>2025-11-03 21:38:09</t>
  </si>
  <si>
    <t>2025-11-03 21:38:00</t>
  </si>
  <si>
    <t>2025-11-03 21:37:55</t>
  </si>
  <si>
    <t>myzaker</t>
  </si>
  <si>
    <t>2025-11-03 21:37:00</t>
  </si>
  <si>
    <t>文汇网</t>
  </si>
  <si>
    <t>2025-11-03 18:09:06</t>
  </si>
  <si>
    <t>10月31日，上海市奉贤区消防救援支队举办了奉贤区首届大学生消防志愿者技能演训及技术交流赛，来自在奉高校的8支大学生消防志愿服务队伍齐聚一堂，展开激烈角逐，某高校参赛选手小李在赛后感叹道以前我们搞志愿活动，主要就是上门发发宣传单，讲解一下消防知识，像这样系统性的实操还真是头一回。很多项目看起来容易，真正做起来才发现难度不小。这次比赛，我学到了很多实用的消防本领，感觉特别好。某高校参赛选手小李在赛</t>
  </si>
  <si>
    <t>2025-11-03 17:56:19</t>
  </si>
  <si>
    <t>10月31日，上海市奉贤区消防救援支队举办了奉贤区首届大学生消防志愿者技能演训及技术交流赛，来自在奉高校的8支大学生消防志愿服务队伍齐聚一堂，展开激烈角逐，某高校参赛选手小李在赛后感叹道以前我们搞志愿活动，主要就是上门发发宣传单，讲解一下消防知识，像这样系统性的实操还真是头一回。很多项目看起来容易，真正做起来才发现难度不小。这次比赛，我学到了很多实用的消防本领，感觉特别好。此次交流赛内容丰富、项</t>
  </si>
  <si>
    <t>2025-11-03 17:56:00</t>
  </si>
  <si>
    <t>2025-11-03 17:55:11</t>
  </si>
  <si>
    <t>新民晚报 曹博文</t>
  </si>
  <si>
    <t>2025-11-03 17:47:14</t>
  </si>
  <si>
    <t>2025-11-03 17:47:11</t>
  </si>
  <si>
    <t>2025-11-03 17:46:20</t>
  </si>
  <si>
    <t>2025-11-03 17:46:00</t>
  </si>
  <si>
    <t>省会经济圈产教联合体迈向实体化运行</t>
  </si>
  <si>
    <t>2025-11-01 10:54:05</t>
  </si>
  <si>
    <t>山东教育新闻网</t>
  </si>
  <si>
    <t>10月29日至30日，省会经济圈产教联合体一届二次会议暨产教联合体实体化创新发展研讨会在济南召开，以“深化产教融合·赋能区域发展”为主题，推动省会经济圈产教融合联合体从机制构建迈向实体化运行新阶段，局长王纮表示联合体的会员单位已发展到254家，今后聚焦 发展新质生产力，将人才链、创新链嵌入产业链，为区域高质量发展提供坚实支撑，29日下午，济南市教育局党组成员、副局长王志国主持召开省会经济圈产教联</t>
  </si>
  <si>
    <t>2025-11-01 10:54:00</t>
  </si>
  <si>
    <t>深化产教融合 赋能区域发展 山东省省会经济圈产教联合体发布三大重点项目</t>
  </si>
  <si>
    <t>2025-10-31 16:57:59</t>
  </si>
  <si>
    <t>闪电新闻</t>
  </si>
  <si>
    <t>10月29日下午，省会经济圈产教联合体理事长单位——济南市教育局党组成员、副局长王志国主持召开联合体理事会会议，联合体秘书处汇报了年度工作完成情况、下步工作计划；对联合体组织架构调整方案进行了审议，研究确定了增补副理事长、秘书长、成员单位以及常务秘书长及副秘书长人选，会议强调，要进一步推动联合体实体化运作，扎实推进年度各项工作计划顺利完成，形成一套权责清晰、运转协调、保障有力的长效运行机制，为全</t>
  </si>
  <si>
    <t>山东省省会经济圈产教联合体一届二次会议暨产教联合体实体化创新发展研讨会在济南召开</t>
  </si>
  <si>
    <t>2025-10-31 16:54:34</t>
  </si>
  <si>
    <t>2025年10月29日至30日，山东省省会经济圈产教联合体一届二次会议暨产教联合体实体化创新发展研讨会在济南成功召开，本次会议以“深化产教融合·赋能区域发展——推动省会经济圈产教联合体实体化创新运行”为主题，旨在深入贯彻落实国家关于深化产教融合的决策部署，推动联合体从机制构建迈向实体化运行新阶段，会议由山东省省会经济圈产教联合体主办，济南市教育局、济南大学、济南工程职业技术学院共同承办，淄博、东</t>
  </si>
  <si>
    <t>2025-10-31 16:32:38</t>
  </si>
  <si>
    <t>2025-10-31 16:21:40</t>
  </si>
  <si>
    <t>2025-10-31 16:21:00</t>
  </si>
  <si>
    <t>省会经济圈产教联合体携手校企“双向奔赴”</t>
  </si>
  <si>
    <t>2025-10-31 12:08:18</t>
  </si>
  <si>
    <t>大众新闻</t>
  </si>
  <si>
    <t>山东省省会经济圈产教联合体一届二次会议在济南召开</t>
  </si>
  <si>
    <t>2025-10-31 11:40:20</t>
  </si>
  <si>
    <t>经观</t>
  </si>
  <si>
    <t>济南报道2025年10月29日至30日，山东省省会经济圈产教联合体一届二次会议暨产教联合体实体化创新发展研讨会在济南成功召开，本次会议以“深化产教融合·赋能区域发展——推动省会经济圈产教联合体实体化创新运行”为主题，旨在深入贯彻落实国家关于深化产教融合的决策部署，推动联合体从机制构建迈向实体化运行新阶段，会议由山东省省会经济圈产教联合体主办，济南市教育局、济南大学、济南工程职业技术学院共同承办，</t>
  </si>
  <si>
    <t>2025-10-31 11:09:05</t>
  </si>
  <si>
    <t>大众网</t>
  </si>
  <si>
    <t>2025-10-31 11:09:00</t>
  </si>
  <si>
    <t>海报新闻</t>
  </si>
  <si>
    <t>济南报道2025年10月29日至30日，山东省省会经济圈产教联合体一届二次会议暨产教联合体实体化创新发展研讨会在济南成功召开，本次会议以“深化产教融合·赋能区域发展——推动省会经济圈产教联合体实体化创新运行”为主题，旨在深入贯彻落实国家关于深化产教融合的决策部署，推动联合体从机制构建迈向实体化运行新阶段，打开APP，查看更多精彩图片会议由山东省省会经济圈产教联合体主办，济南市教育局、济南大学、济</t>
  </si>
  <si>
    <t>2025-10-31 11:04:41</t>
  </si>
  <si>
    <t>2025-10-31 11:04:00</t>
  </si>
  <si>
    <t>报名｜“苏河汇菁英 海鸥助成长” 海鸥计划 2025年秋季系列招聘普陀直播专场开启</t>
  </si>
  <si>
    <t>2025-10-29 21:15:00</t>
  </si>
  <si>
    <t>华东师大学生就业</t>
  </si>
  <si>
    <t>打开APP，查看更多精彩图片活动背景“促进高质量充分就业，是新时代新征程就业工作的新定位、新使命”，《中共中央国务院关于实施就业优先战略促进高质量充分就业的意见》中明确要把高质量充分就业作为经济社会发展优先目标，针对高校毕业生等重点群体给予就业支持，努力实现“就业稳、人气旺、经济活、事业兴”，面对当前复杂的就业形势，以及高校毕业生和青年群体的就业痛点和难点，普陀区妇联积极响应号召，结合区内产业发</t>
  </si>
  <si>
    <t>智汇日照，协同未来！人工智能产教协同发展研讨会暨 “院长杯” 数智应用大赛启动仪式圆满举行</t>
  </si>
  <si>
    <t>2025-10-28 11:09:06</t>
  </si>
  <si>
    <t>10月24日，日照城市大脑智慧汇聚、思想激荡——人工智能产教协同发展研讨会暨2025“院长杯”数智应用场景创新公开赛启动仪式在此顺利举办，本次活动在上海高职院校电子信息类专业教学指导委员会、日照中央活力区发展服务中心指导下，由上海市计算机行业协会、东港区人社局、东港区工信局等单位联合主办，日照平台经济产业园与日照数据发展研究院、数字日照有限公司、日照市新质数据研究院共同承办，旨在搭建沪鲁两地政府</t>
  </si>
  <si>
    <t>2025-10-28 11:01:00</t>
  </si>
  <si>
    <t>2025-10-28 10:24:33</t>
  </si>
  <si>
    <t>聚焦长三角集成电路产教融合，这场年会共探讨</t>
  </si>
  <si>
    <t>2025-10-27 14:55:25</t>
  </si>
  <si>
    <t>10月24日，长三角集成电路产业产教融合共同体年会，暨上海市集成电路技能人才培养联盟会议在上海电子信息职业技术学院举办，上海电子信息职业技术学院党委书记傅建勤致辞表示学校作为上海集成电路职业教育先行者，1994年设立微电子专业、2019年开设全国首批集成电路专业，三十余年来始终对接产业布局，聚焦临港新片区 定位，构建了开放型实训基地、产业级科研项目、社会化培训与技术服务的四位一体育人生态，集成电</t>
  </si>
  <si>
    <t>2025-10-27 14:54:12</t>
  </si>
  <si>
    <t>2025-10-27 14:45:42</t>
  </si>
  <si>
    <t>聚焦长三角集成电路产教融合, 这场年会共探讨</t>
  </si>
  <si>
    <t>2025-10-27 14:45:00</t>
  </si>
  <si>
    <t>上海电子信息职业技术学院:长三角集成电路产业产教融合共同体年会在学校举办</t>
  </si>
  <si>
    <t>2025-10-27 13:24:43</t>
  </si>
  <si>
    <t>通讯员 王香玉 杨璟楠</t>
  </si>
  <si>
    <t>10月24日，长三角集成电路产业产教融合共同体年会暨上海市集成电路技能人才培养联盟会议在上海电子信息职业技术学院奉贤校区举办，本次会议由长三角集成电路产业产教融合共同体、上海市集成电路技能人才培养联盟主办，上海电子信息职业技术学院承办，学校党委书记傅建勤，党委副书记、院长赵坚，广德技师学院党委副书记、校长陈传胜，上海无线电设备研究所副总工程师兼金加工事业部部长陈路，上海新升半导体科技有限公司人力</t>
  </si>
  <si>
    <t>上海电子信息职业技术学院：这场年会聚焦集成电路产教融合</t>
  </si>
  <si>
    <t>2025-10-27 13:02:15</t>
  </si>
  <si>
    <t>2025-10-27 12:55:00</t>
  </si>
  <si>
    <t>2025-10-27 12:48:00</t>
  </si>
  <si>
    <t>人工智能产教协同发展研讨会暨“院长杯”数智应用大赛启动仪式在日照举行</t>
  </si>
  <si>
    <t>2025-10-27 11:11:00</t>
  </si>
  <si>
    <t>焦点24小时</t>
  </si>
  <si>
    <t>10月24日，人工智能产教协同发展研讨会暨2025“院长杯”数智应用场景创新公开赛启动仪式在日照城市大脑举办，本次活动在上海高职院校电子信息类专业教学指导委员会、日照中央活力区发展服务中心指导下，由上海市计算机行业协会、东港区人社局、东港区工信局等单位联合主办，日照平台经济产业园与日照数据发展研究院、数字日照有限公司、日照市新质数据研究院共同承办，旨在搭建沪鲁两地政府、高校、企业的协同桥梁，推动</t>
  </si>
  <si>
    <t>2025-10-27 10:24:00</t>
  </si>
  <si>
    <t>日照新闻网</t>
  </si>
  <si>
    <t>大众网记者 张婕 通讯员 李雪 日照报道 10月24日，人工智能产教协同发展研讨会暨2025“院长杯”数智应用场景创新公开赛启动仪式在日照城市大脑举办。本次活动在上海高职院校电子信息类专业教学指导委员</t>
  </si>
  <si>
    <t>2025-10-27 10:12:16</t>
  </si>
  <si>
    <t>热榜内容</t>
  </si>
  <si>
    <t>人工智能产教协同发展研讨会暨 “院长杯” 数智应用大赛启动仪式在日照举行</t>
  </si>
  <si>
    <t>2025-10-27 10:09:06</t>
  </si>
  <si>
    <t>2025-10-27 10:09:00</t>
  </si>
  <si>
    <t>2025-10-27 10:07:00</t>
  </si>
  <si>
    <t>2025-10-27 10:03:48</t>
  </si>
  <si>
    <t>2025年羊城杯网安大赛获奖名单公布</t>
  </si>
  <si>
    <t>2025-10-26 15:46:09</t>
  </si>
  <si>
    <t>10月25日，2025年“羊城杯”网络安全大赛决赛在广州职业技术大学举行，广州市委网信办相关负责人表示多年来，羊城杯网络安全大赛的举办，不仅为网信领域特殊人才成功搭建了一个能力展示与技术交流的对接平台，为我国网络安全事业注入源源不断的人才活力，也通过赛事互动建立早期联系，为企业人才储备库注入新鲜血液，同时，还是衔接产业需求、优化教学和培养实战型人才的桥梁，作为国内网络安全领域重要赛事之一，“羊城</t>
  </si>
  <si>
    <t>鼓励AI实战应用！2025年羊城杯网安大赛获奖名单公布</t>
  </si>
  <si>
    <t>2025-10-26 15:42:10</t>
  </si>
  <si>
    <t>南方都市报</t>
  </si>
  <si>
    <t>10月25日，2025年“羊城杯”网络安全大赛决赛在广州职业技术大学举行，广州市委网信办相关负责人表示多年来，羊城杯网络安全大赛的举办，不仅为网信领域特殊人才成功搭建了一个能力展示与技术交流的对接平台，为我国网络安全事业注入源源不断的人才活力，也通过赛事互动建立早期联系，为企业人才储备库注入新鲜血液，同时，还是衔接产业需求、优化教学和培养实战型人才的桥梁，赛事延续六年，参赛群体多元作为国内网络安</t>
  </si>
  <si>
    <t>2025-10-26 15:39:11</t>
  </si>
  <si>
    <t>2025-10-26 15:38:33</t>
  </si>
  <si>
    <t>2025-10-26 15:38:00</t>
  </si>
  <si>
    <t>鼓励AI实战应用! 2025年羊城杯网安大赛获奖名单公布</t>
  </si>
  <si>
    <t>2025-10-26 15:36:51</t>
  </si>
  <si>
    <t>2025-10-26 15:36:00</t>
  </si>
  <si>
    <t>2025-10-26 10:58:24</t>
  </si>
  <si>
    <t>山东日照：人工智能产教协同发展研讨会圆满举办</t>
  </si>
  <si>
    <t>2025-10-25 17:04:00</t>
  </si>
  <si>
    <t>2025-10-25 16:54:00</t>
  </si>
  <si>
    <t>东方资讯</t>
  </si>
  <si>
    <t>大众报业·齐鲁壹点</t>
  </si>
  <si>
    <t>2025-10-25 16:38:22</t>
  </si>
  <si>
    <t>齐鲁壹点</t>
  </si>
  <si>
    <t>2025-10-25 16:34:54</t>
  </si>
  <si>
    <t>2025-10-25 16:33:34</t>
  </si>
  <si>
    <t>壹点</t>
  </si>
  <si>
    <t>2025-10-25 16:33:00</t>
  </si>
  <si>
    <t>齐鲁晚报-齐鲁壹点</t>
  </si>
  <si>
    <t>山东日照: 人工智能产教协同发展研讨会圆满举办</t>
  </si>
  <si>
    <t>2025年南上海品牌创新挑战赛正式启动！丰厚奖励，等你来赛！</t>
  </si>
  <si>
    <t>2025-10-20 20:28:00</t>
  </si>
  <si>
    <t>品创新未来”为主题，旨在通过“政府搭台—企业出题—高校答题”的模式，破解企业品牌发展痛点，培养实战型营销人才，构建南上海品牌创新生态，提升区域产业品牌影响力与核心竞争力，奉贤新城未来生活赛道奉贤新城未来生活赛道，本次大赛设四大赛道各赛道拟邀请1家代表性企业提供真实品牌需求作为赛题，参赛团队仅可选择1个赛道报名，不得兼报，选择对应赛道提交《报名信息表》，公示有效参赛团队名单（10月18日前），如您</t>
  </si>
  <si>
    <t>“共铸精神丰碑”：沪辽两地纪念馆携手深化抗美援朝精神传承</t>
  </si>
  <si>
    <t>2025-10-19 20:59:33</t>
  </si>
  <si>
    <t>姜淑华</t>
  </si>
  <si>
    <t>“共铸精神丰碑”：沪辽两地纪念馆携手深化抗美援朝精神传承纪念中国人民志愿军抗美援朝出国作战75周年，抗美援朝纪念馆与上海奉贤抗美援胡精神教育学习基地。</t>
  </si>
  <si>
    <t>2025-10-19 20:59:00</t>
  </si>
  <si>
    <t>发布30余社会技能培训与认证服务 苏州市电子信息职教行指委部署新工作</t>
  </si>
  <si>
    <t>2025-10-16 22:28:38</t>
  </si>
  <si>
    <t>引力播</t>
  </si>
  <si>
    <t>引力播记者：袁艺</t>
  </si>
  <si>
    <t>下午，在苏州市电子信息职业教育行业指导委员会新学期工作会议上，开放型区域产教融合实践中心揭牌，电子信息系列职业技能培训项目集中发布，此次行指委新学期工作会议的召开，是深入贯彻落实《国家职业教育改革实施方案》和《苏州市推动现代职业教育高质量发展三年行动方案，》、落实市委市政府关于推动职业教育面向产业办学工作部署的重要举措，会议由苏州市教育局、苏州市中华职业教育社、中国半导体行业协会集成电路分会及全</t>
  </si>
  <si>
    <t>奉贤：强化节水“三同时”，筑牢水资源刚性约束屏障 原创 上海水务海洋 上海水务海洋 上海 节水“三同时”是指新建、改建、扩建城市建设项目应当编制节水措施方案，配套建设节水设施，节约用水设施应当与主体工</t>
  </si>
  <si>
    <t>2025-10-16 04:51:59</t>
  </si>
  <si>
    <t>奉贤：强化节水“三同时”，筑牢水资源刚性约束屏障，为进一步强化水资源刚性约束，确保建设项目节水设施与主体工程“同时设计、同时施工、同时投入使用”，制度落地见效，近日，上海市奉贤区水务局先后前往上海交通大学附属新华医院，开展节水“三同时”监管工作，以精准化、常态化监管举措为区域节水工作夯实基础，监管过程中，工作人员严格按照节水设施设计方案，结合现场运行情况，重点围绕用水系统、计量系统、用水器具、非</t>
  </si>
  <si>
    <t>奉贤：强化节水“三同时”，筑牢水资源刚性约束屏障</t>
  </si>
  <si>
    <t>2025-10-16 04:51:37</t>
  </si>
  <si>
    <t>节水“三同时”是指新建、改建、扩建城市建设项目应当编制节水措施方案，配套建设节水设施，节约用水设施应当与主体工程同时设计、同时施工、同时投入使用，为进一步强化水资源刚性约束，确保建设项目节水设施与主体工程“同时设计、同时施工、同时投入使用”，制度落地见效，近日，上海市奉贤区水务局先后前往上海交通大学附属新华医院，开展节水“三同时”监管工作，以精准化、常态化监管举措为区域节水工作夯实基础，监管过程</t>
  </si>
  <si>
    <t>2025-10-16 04:41:00</t>
  </si>
  <si>
    <t>2025-10-15 19:00:00</t>
  </si>
  <si>
    <t>2025-10-15 17:15:00</t>
  </si>
  <si>
    <t>节水“三同时”是指新建、改建、扩建城市建设项目应当编制节水措施方案，配套建设节水设施，节约用水设施应当与主体工程同时设计、同时施工、同时投入使用，为进一步强化水资源刚性约束，确保建设项目节水设施与主体工程“同时设计、同时施工、同时投入使用”，制度落地见效，近日，上海市奉贤区水务局先后前往上海交通大学附属新华医院，开展节水“三同时”监管工作，以精准化、常态化监管举措为区域节水工作夯实基础，监管现场</t>
  </si>
  <si>
    <t>广德：筑牢校企协作安全防线 赋能产教融合高质量发展</t>
  </si>
  <si>
    <t>2025-10-11 08:08:00</t>
  </si>
  <si>
    <t>近年来，安徽广德经开区深入贯彻落实国家关于深化产教融合的决策部署，聚焦企业安全生产与校企协作安全保障，通过政策引导、机制创新与资源整合，构建起教育链、人才链与产业链、创新链有机衔接的实践体系，形成了具有区域特色的“广德模式”，为经开区高质量发展注入强劲动能，推行“企业新型学徒制” 实现工学一体与安全培训并重，自2020年起，广德经开区联合重点企业试点“企业新型学徒制”，由企业提出人才需求，学校协</t>
  </si>
  <si>
    <t>今年首届26名毕业生5人入职“国家队”9人入职“上海队”，这个专业的培养秘诀是……</t>
  </si>
  <si>
    <t>2025-10-08 18:30:00</t>
  </si>
  <si>
    <t>正在松江健生江秋基地进行专业拓展集中训练的上海市市北职业高级中学应急救援专业3个年级的学生，完成了从基地到佘山的5公里拉练，校长李旭东说因为不同年级的学生接受过的训练强度不同，我们布置了距离、负重不同的任务，也有学生越级向‘老兵’发起挑战。市北职高学生管理处主任凌云说学校是走读制，江秋基地的全封闭训练能迅速让高一新生与高二、高三的学生熟悉起来，建立起信任关系，他们以后执行任务时可能就是需要互相托</t>
  </si>
  <si>
    <t>52所高职院校入选！职业教育国际合作办学典型案例名单公布</t>
  </si>
  <si>
    <t>2025-09-25 16:34:03</t>
  </si>
  <si>
    <t>9月24日，中国教育国际交流协会发布《关于公布职业教育国际合作办学典型案例名单的通知》，受教育部职业教育与成人教育司委托，中国教育国际交流协会开展职业教育国际合作办学典型案例推介工作，现将征集和遴选产生的61个优秀案例予以公布，下一步，中国教育国际交流协会将对优秀案例进行编辑出版，宣传介绍国际合作办学典型经验和创新实践，供各地及院校交流学习，为举办高水平海外办学项目提供借鉴，引领职业教育高质量出</t>
  </si>
  <si>
    <t>2025-09-25 16:34:00</t>
  </si>
  <si>
    <t>2025-09-25 15:03:00</t>
  </si>
  <si>
    <t>9月24日，中国教育国际交流协会发布《关于公布职业教育国际合作办学典型案例名单的通知》，受教育部职业教育与成人教育司委托，中国教育国际交流协会开展职业教育国际合作办学典型案例推介工作，现将征集和遴选产生的61个优秀案例予以公布，　　下一步，中国教育国际交流协会将对优秀案例进行编辑出版，宣传介绍国际合作办学典型经验和创新实践，供各地及院校交流学习，为举办高水平海外办学项目提供借鉴，引领职业教育高质</t>
  </si>
  <si>
    <t>【#第三届全国职业技能大赛#闭幕，上海选手金牌数和获奖总数继续稳居全国第一方阵】@上海人社 介绍，中华人民共和国第三届职业技能大赛近日在河南郑州闭幕。本次大赛上海共派118名选手（含2名代表行业参赛的</t>
  </si>
  <si>
    <t>2025-09-25 11:44:16</t>
  </si>
  <si>
    <t>#第三届全国职业技能大赛#闭幕，上海选手金牌数和获奖总数继续稳居全国第一方阵介绍，中华人民共和国第三届职业技能大赛近日在河南郑州闭幕，经过3天的激烈比拼，上海选手取得了9金5银3铜72优胜奖的优异成绩，超四分之三的选手获奖，金牌数和获奖总数继续稳居全国第一方阵，从获奖情况来看，上海选手在本市“3+6”重点产，业以及“五个中心”建设相关比赛项目占据领先地，智慧安防技术项目成功摘金；汽车产业的车身修</t>
  </si>
  <si>
    <t>2025工博会｜积极回应民生关切，破解技术瓶颈难题</t>
  </si>
  <si>
    <t>2025-09-25 10:53:00</t>
  </si>
  <si>
    <t>人民对美好生活的向往，是科技创新的前进方向，创造美好生活也离不开科技创新，项目负责人黄学辉介绍说目前已构建了水稻基因致因变异电子图谱，还开发了水稻分子育种导航系统，新培育的科优导航1号等产品已初步完成国家新品种审定流程，朱为宏院士介绍说这是一款集智能、节能、环保于一身的高性能创新产品。作为国内首款光致变色玻璃，它在成本上不仅优于美国同类产品，也显著低于电致变色技术，极具市场竞争力。今年工博会高校</t>
  </si>
  <si>
    <t>2025工博会|积极回应民生关切，破解技术瓶颈难题</t>
  </si>
  <si>
    <t>2025-09-25 10:47:13</t>
  </si>
  <si>
    <t>人民对美好生活的向往，是科技创新的前进方向，创造美好生活也离不开科技创新，度与愈合节奏不匹配的问题水稻导航育种与高产优质稻米选育，项目负责人黄学辉介绍说目前已构建了水稻基因致因变异电子图谱，还开发了水稻分子育种导航系统，新培育的科优导航1号等产品已初步完成国家新品种审定流程，朱为宏院士介绍说这是一款集智能、节能、环保于一身的高性能创新产品。作为国内首款光致变色玻璃，它在成本上不仅优于美国同类产品</t>
  </si>
  <si>
    <t>捷报！第三届全国职业技能大赛上海代表团获奖名单来啦</t>
  </si>
  <si>
    <t>2025-09-25 10:45:50</t>
  </si>
  <si>
    <t>捷报！第三届全国职业技能大赛上海代表团获奖名单来啦捷报。</t>
  </si>
  <si>
    <t>【提示】第三届全国职业技能大赛闭幕，上海选手金牌数和获奖总数继续稳居全国第一方阵</t>
  </si>
  <si>
    <t>2025-09-25 10:40:50</t>
  </si>
  <si>
    <t>市人社局介绍，中华人民共和国第三届职业技能大赛近日在河南郑州闭幕，经过3天的激烈比拼，上海选手取得了9金5银3铜72优胜奖的优异成绩，超四分之三的选手获奖，金牌数和获奖总数继续稳居全国第一方阵，从获奖情况来看，上海选手在本市“3+6”重点产业以及“五个中心”建设相关比赛项目占据领先地位，世赛新增赛项、人工智能与信息技术融合的智慧安防技术项目成功摘金；汽车产业的车身修理项目、生命健康产业的健康和社</t>
  </si>
  <si>
    <t>2025-09-25 10:40:47</t>
  </si>
  <si>
    <t>2025-09-25 10:34:30</t>
  </si>
  <si>
    <t>无人机交通执法、师生共创卫星明年发射…校园“金点子”从展台走向应用</t>
  </si>
  <si>
    <t>2025-09-25 09:22:56</t>
  </si>
  <si>
    <t>    一艘小船在鱼儿喂养区投放饲料后，通过声波定向通知鱼儿们来享用；无人机在交通事故现场自主执法；按着香菇键盘弹奏出美妙的音乐……这些在生活中的奇思妙想，在9月23日至27日的2025中国国际工业博览会高校展区变为现实，彭浦三中初一（8）班的苏冠铭告诉记者这辆车是我们4人小组花了一学期的时间把它做了出来，利用周一晚上社团课和周五下午综合实践课的时间。彭浦三中初一（8）班的苏冠铭告诉记者我们四个</t>
  </si>
  <si>
    <t>视频丨无人机交通执法、师生共创卫星明年发射……校园“金点子”从展台走向应用</t>
  </si>
  <si>
    <t>2025-09-24 22:15:04</t>
  </si>
  <si>
    <t>一艘小船在鱼儿喂养区投放饲料后，通过声波定向通知鱼儿们来享用；无人机在交通事故现场自主执法；按着香菇键盘弹奏出美妙的音乐……这些在生活中的奇思妙想，在9月23日至27日的2025中国国际工业博览会高校展区变为现实，彭浦三中初一（8）班的苏冠铭告诉记者这辆车是我们4人小组花了一学期的时间把它做了出来，利用周一晚上社团课和周五下午综合实践课的时间。彭浦三中初一（8）班的苏冠铭告诉记者我们四个人分工不</t>
  </si>
  <si>
    <t>2025-09-24 21:42:09</t>
  </si>
  <si>
    <t>视频丨无人机交通执法、师生共创卫星明年发射…校园“金点子”从展台走向应用</t>
  </si>
  <si>
    <t>2025-09-24 21:36:11</t>
  </si>
  <si>
    <t>2025-09-24 21:36:00</t>
  </si>
  <si>
    <t>2025-09-24 21:35:35</t>
  </si>
  <si>
    <t>2025-09-24 21:35:00</t>
  </si>
  <si>
    <t>国家网络安全宣传周普陀区主题活动举行，多维发力筑牢区域网络安全“防线”</t>
  </si>
  <si>
    <t>2025-09-21 08:29:08</t>
  </si>
  <si>
    <t>共护网安”——2025年国家网络安全宣传周普陀区主题活动举行，来自区内相关单位、企业和社区的居民们共聚一堂，一同见证普陀区在网络安全宣传工作的多项举措，感受数字时代的安全脉搏，课程清单精准发布网络安全教育走进千家万户活动现场，普陀区委网信办正式发布了网络安全“六进六送”课程及活动清单，该清单系统整合了针对机关、企业、社区、校园等不同场景的宣传教育资源，实现“按需配送、精准普及”，此外，《普陀区网</t>
  </si>
  <si>
    <t>2025-09-21 07:57:54</t>
  </si>
  <si>
    <t>施旖雯</t>
  </si>
  <si>
    <t>2025-09-21 07:56:13</t>
  </si>
  <si>
    <t>共护网安”——2025年国家网络安全宣传周普陀区主题活动举行，来自区内相关单位、企业和社区的居民们共聚一堂，一同见证普陀区在网络安全宣传工作的多项举措，感受数字时代的安全脉搏，活动现场，普陀区委网信办正式发布了网络安全“六进六送”课程及活动清单，该清单系统整合了针对机关、企业、社区、校园等不同场景的宣传教育资源，实现“按需配送、精准普及”，此外，《普陀区网络安全家庭宣传手册》也在现场首发，该手册</t>
  </si>
  <si>
    <t>2025-09-21 07:55:07</t>
  </si>
  <si>
    <t>2025-09-21 07:54:11</t>
  </si>
  <si>
    <t>2025-09-21 07:53:02</t>
  </si>
  <si>
    <t>新民晚报新民网</t>
  </si>
  <si>
    <t>2025-09-21 07:53:00</t>
  </si>
  <si>
    <t>共护网安”——2025年国家网络安全宣传周普陀区主题活动举行，来自区内相关单位、企业和社区的居民们共聚一堂，一同见证普陀区在网络安全宣传工作的多项举措，感受数字时代的安全脉搏，网络安全教育走进千家万户活动现场，普陀区委网信办正式发布了网络安全“六进六送”课程及活动清单，该清单系统整合了针对机关、企业、社区、校园等不同场景的宣传教育资源，实现“按需配送、精准普及”，此外，《普陀区网络安全家庭宣传手</t>
  </si>
  <si>
    <t>共护网安”——2025年国家网络安全宣传周普陀区主题活动举行，来自区内相关单位、企业和社区的居民们共聚一堂，一同见证普陀区在网络安全宣传工作的多项举措，感受数字时代的安全脉搏，打开APP，查看更多精彩图片课程清单精准发布网络安全教育走进千家万户活动现场，普陀区委网信办正式发布了网络安全“六进六送”课程及活动清单，该清单系统整合了针对机关、企业、社区、校园等不同场景的宣传教育资源，实现“按需配送、</t>
  </si>
  <si>
    <t>网络安全宣传周丨如何守护少年网络安全？奉城镇的答案在这里→</t>
  </si>
  <si>
    <t>2025-09-20 20:34:10</t>
  </si>
  <si>
    <t>9月18日下午，肇文·塘外联合学校的校园里满是同学们的欢呼声，一场以“‘网’聚青春力量‘安’护少年成长”为主题的2025年国家网络安全宣传周奉贤地区奉城镇网络安全进校园活动在此热闹开展，德育主任沈淑群坦言对学校而言，网络安全教育是守护学生成长必不可少的一课，我们一直期待有专业力量加入。德育主任沈淑群坦言之前我们通过班会、手抄报普及网安知识，但碰到AI防护、网络诈骗这类内容时，总觉得讲解不够深入。</t>
  </si>
  <si>
    <t>2025-09-20 20:32:00</t>
  </si>
  <si>
    <t>上海大学生创新创业大赛颁奖，把年轻人的创新点子转化为公司产品</t>
  </si>
  <si>
    <t>2025-09-20 19:00:29</t>
  </si>
  <si>
    <t>9月19日下午，“海聚英才”第二届“上证杯”上海大学生创新创业大赛颁奖仪式在上海创智学院举行，36个项目获奖，文化创意与产业创新等6条赛道引导在校本科生和研究生投身创新创业，为上海建设国际科技创新中心培养青年人才，这项赛事依托上海高校学科优势，设置生物医药、人工智能与、新能源与新材料、高端装备制造、新一代信息技术、文化创意与产业创新等6条赛道，引导在校本科生和研究生投身创新创业，为上海建设国际科</t>
  </si>
  <si>
    <t>9月19日下午，“海聚英才”第二届“上证杯”上海大学生创新创业大赛颁奖仪式在上海创智学院举行，36个项目获奖，文化创意与产业创新等6条赛道引导在校本科生和研究生投身创新创业，为上海建设国际科技创新中心培养青年人才，这项赛事依托上海高校学科优势，设置生物医药、人工智能与科技金融、新能源与新材料、高端装备制造、新一代信息技术、文化创意与产业创新等6条赛道，引导在校本科生和研究生投身创新创业，为上海建</t>
  </si>
  <si>
    <t>2025-09-20 19:00:01</t>
  </si>
  <si>
    <t>2025-09-20 18:59:00</t>
  </si>
  <si>
    <t>上海大学生创新创业大赛颁奖, 把年轻人的创新点子转化为公司产品</t>
  </si>
  <si>
    <t>2025-09-20 18:58:31</t>
  </si>
  <si>
    <t>2025-09-20 18:58:00</t>
  </si>
  <si>
    <t>2025年国家网络安全宣传周普陀区主题活动举行，多维发力筑牢区域网络安全“人民防线”</t>
  </si>
  <si>
    <t>2025-09-20 17:16:13</t>
  </si>
  <si>
    <t>共护网安”——2025年国家网络安全宣传周普陀区主题活动举行，来自区内相关单位、企业和社区的居民们共聚一堂，一同见证普陀区在网络安全宣传工作的多项举措，感受数字时代的安全脉搏，上海市委网信办副主任杨海军，普陀区委常委、宣传部部长刘东昌出席并讲话，活动现场，普陀区委网信办正式发布了网络安全“六进六送”课程及活动清单，该清单系统整合了针对机关、企业、社区、校园等不同场景的宣传教育资源，实现“按需配送</t>
  </si>
  <si>
    <t>2025-09-20 17:10:00</t>
  </si>
  <si>
    <t>2025-09-20 12:21:00</t>
  </si>
  <si>
    <t>9月19日，“e路向新共护网安”——2025年国家网络安全宣传周普陀区主题活动举行，来自区内相关单位、企业和社区的居民们共聚一堂，一同见证普陀区在网络安全宣传工作的多项举措，感受数字时代的安全脉搏，上海市委网信办副主任杨海军，普陀区委常委、宣传部部长刘东昌出席并讲话，课程清单精准发布网络安全教育走进千家万户活动现场，普陀区委网信办正式发布了网络安全“六进六送”课程及活动清单，该清单系统整合了针对</t>
  </si>
  <si>
    <t>上海援疆教师张忠良：初心不改，使命在肩</t>
  </si>
  <si>
    <t>2025-09-20 07:59:08</t>
  </si>
  <si>
    <t>张忠良张忠良，中共党员，上海电子信息职业技术学院通信与信息工程学院专任教师，上海市第十一批援疆干部人才，中组部援喀什理工职业技术学院工作队成员，现任喀什理工职业技术学院视觉传达设计专业主任，跨越千山万水，从东海之滨的上海来到了祖国西部的喀什，怀揣着“为党育人、为国育才”的炽热初心，以坚如磐石的信念、扎实稳健的作风，在教育的征程上默默耕耘、无私奉献，用实际行动诠释着教育援疆的使命担当，对口帮扶链：</t>
  </si>
  <si>
    <t>2025-09-20 07:36:09</t>
  </si>
  <si>
    <t>张忠良，中共党员，上海电子信息职业技术学院通信与信息工程学院专任教师，上海市第十一批援疆干部人才，中组部援喀什理工职业技术学院工作队成员，现任喀什理工职业技术学院视觉传达设计专业主任，跨越千山万水，从东海之滨的上海来到了祖国西部的喀什，怀揣着“为党育人、为国育才”的炽热初心，以坚如磐石的信念、扎实稳健的作风，在教育的征程上默默耕耘、无私奉献，用实际行动诠释着教育援疆的使命担当，对口帮扶链：30余</t>
  </si>
  <si>
    <t>2025-09-20 07:31:09</t>
  </si>
  <si>
    <t>2025-09-20 07:29:10</t>
  </si>
  <si>
    <t>2025-09-20 07:28:00</t>
  </si>
  <si>
    <t>打开APP，查看更多精彩图片张忠良张忠良，中共党员，上海电子信息职业技术学院通信与信息工程学院专任教师，上海市第十一批援疆干部人才，中组部援喀什理工职业技术学院工作队成员，现任喀什理工职业技术学院视觉传达设计专业主任，跨越千山万水，从东海之滨的上海来到了祖国西部的喀什，怀揣着“为党育人、为国育才”的炽热初心，以坚如磐石的信念、扎实稳健的作风，在教育的征程上默默耕耘、无私奉献，用实际行动诠释着教育</t>
  </si>
  <si>
    <t>“海聚英才”153所国内外高校青年创客2200个项目申城抢滩</t>
  </si>
  <si>
    <t>2025-09-19 22:28:03</t>
  </si>
  <si>
    <t>9月19日第二届“上证杯”“海聚英才”上海大学生创新创业大赛颁奖仪式在上海创智学院举行，新一代信息技术和高端装备制造等六个项目赛道打造面向海内外大学生的创新创业实践大平台，相比首届，本届大赛“聚才”效应更加明显——共吸引153所国内外高校2200个项目5300多名青年大学生报名，参赛高校和参赛项目数量较去年均增长近10%，颁奖仪式第二届大赛自2024年11月启动，共收到2200项报名参赛项目，国</t>
  </si>
  <si>
    <t>2025-09-19 22:16:00</t>
  </si>
  <si>
    <t>共护网安”——2025年国家网络安全宣传周普陀区主题活动举行，来自区内相关单位、企业和社区的居民们共聚一堂，一同见证普陀区在网络安全宣传工作的多项举措，感受数字时代的安全脉搏，上海市委网信办副主任杨海军，普陀区委常委、宣传部部长刘东昌出席并讲话，打开APP，查看更多精彩图片课程清单精准发布网络安全教育走进千家万户活动现场，普陀区委网信办正式发布了网络安全“六进六送”课程及活动清单，该清单系统整合</t>
  </si>
  <si>
    <t>2025-09-19 21:58:12</t>
  </si>
  <si>
    <t>2025-09-19 21:57:09</t>
  </si>
  <si>
    <t>9月19日第二届“上证杯”“海聚英才”上海大学生创新创业大赛颁奖仪式在上海创智学院举行，新一代信息技术和高端装备制造等六个项目赛道打造面向海内外大学生的创新创业实践大平台，相比首届，本届大赛“聚才”效应更加明显——共吸引153所国内外高校2200个项目5300多名青年大学生报名，参赛高校和参赛项目数量较去年均增长近10%，第二届大赛自2024年11月启动，共收到2200项报名参赛项目，国内北京大</t>
  </si>
  <si>
    <t>2025-09-19 21:55:07</t>
  </si>
  <si>
    <t>2025-09-19 21:53:19</t>
  </si>
  <si>
    <t>2025-09-19 21:52:03</t>
  </si>
  <si>
    <t>2025-09-19 21:52:00</t>
  </si>
  <si>
    <t>9月19日第二届“上证杯”“海聚英才”上海大学生创新创业大赛颁奖仪式在上海创智学院举行，新一代信息技术和高端装备制造等六个项目赛道打造面向海内外大学生的创新创业实践大平台，相比首届，本届大赛“聚才”效应更加明显——共吸引153所国内外高校2200个项目5300多名青年大学生报名，参赛高校和参赛项目数量较去年均增长近10%，打开APP，查看更多精彩图片颁奖仪式第二届大赛自2024年11月启动，共收</t>
  </si>
  <si>
    <t>打开APP，查看更多精彩图片9月19日第二届“上证杯”“海聚英才”上海大学生创新创业大赛颁奖仪式在上海创智学院举行，新一代信息技术和高端装备制造等六个项目赛道打造面向海内外大学生的创新创业实践大平台，相比首届，本届大赛“聚才”效应更加明显——共吸引153所国内外高校2200个项目5300多名青年大学生报名，参赛高校和参赛项目数量较去年均增长近10%，颁奖仪式第二届大赛自2024年11月启动，共收</t>
  </si>
  <si>
    <t>2025-09-19 21:13:10</t>
  </si>
  <si>
    <t>今天下午，“海聚英才”第二届“上证杯”上海大学生创新创业大赛颁奖仪式在上海创智学院举行，36个项目获奖，文化创意与产业创新等6条赛道引导在校本科生和研究生投身创新创业，为上海建设国际科技创新中心培养青年人才，这项赛事依托上海高校学科优势，设置生物医药、人工智能与、新能源与新材料、高端装备制造、新一代信息技术、文化创意与产业创新等6条赛道，引导在校本科生和研究生投身创新创业，为上海建设国际科技创新</t>
  </si>
  <si>
    <t>2025-09-19 20:37:16</t>
  </si>
  <si>
    <t>今天下午，“海聚英才”第二届“上证杯”上海大学生创新创业大赛颁奖仪式在上海创智学院举行，36个项目获奖，文化创意与产业创新等6条赛道引导在校本科生和研究生投身创新创业，为上海建设国际科技创新中心培养青年人才，这项赛事依托上海高校学科优势，设置生物医药、人工智能与科技金融、新能源与新材料、高端装备制造、新一代信息技术、文化创意与产业创新等6条赛道，引导在校本科生和研究生投身创新创业，为上海建设国际</t>
  </si>
  <si>
    <t>2025-09-19 20:36:08</t>
  </si>
  <si>
    <t>2025-09-19 20:35:14</t>
  </si>
  <si>
    <t>解放日报 俞陶然</t>
  </si>
  <si>
    <t>为上海建设国际科技创新中心培养青年人才今天下午，“海聚英才”第二届“上证杯”上海大学生创新创业大赛颁奖仪式在上海创智学院举行，36个项目获奖，文化创意与产业创新等6条赛道引导在校本科生和研究生投身创新创业，为上海建设国际科技创新中心培养青年人才，这项赛事依托上海高校学科优势，设置生物医药、人工智能与科技金融、新能源与新材料、高端装备制造、新一代信息技术、文化创意与产业创新等6条赛道，引导在校本科</t>
  </si>
  <si>
    <t>2025-09-19 20:35:00</t>
  </si>
  <si>
    <t>2025-09-19 17:28:51</t>
  </si>
  <si>
    <t>祝贺！2025年上海市职业院校技能大赛教学能力比赛获奖名单公布</t>
  </si>
  <si>
    <t>2025-09-18 15:01:00</t>
  </si>
  <si>
    <t>根据《上海市教育委员会关于举办2025年上海市职业院校技能大赛教学能力比赛的通知》，要求，市教委组织开展了2025年上海市职业院校技能大赛教学能力比赛，经学校申报、专家评审、公示等程序，最终产生获奖团队102个，其中，一等奖16个、二等奖34个、三等奖52个，现将获奖名单予以公布。</t>
  </si>
  <si>
    <t>2025-09-18 13:49:00</t>
  </si>
  <si>
    <t>转载请注明上海市教委政务微信“上海教育”根据《上海市教育委员会关于举办2025年上海市职业院校技能大赛教学能力比赛的通知》，要求，市教委组织开展了2025年上海市职业院校技能大赛教学能力比赛，经学校申报、专家评审、公示等程序，最终产生获奖团队102个，其中，一等奖16个、二等奖34个、三等奖52个，现将获奖名单予以公布，和小育一起来看！2025年上海市职业院校技能大赛思想政治教育课程教学能力比赛</t>
  </si>
  <si>
    <t>中东部地区12省（市）73所高职院校入围第二轮“双高计划”</t>
  </si>
  <si>
    <t>2025-09-08 17:02:30</t>
  </si>
  <si>
    <t>教育魔法师</t>
  </si>
  <si>
    <t>2025年1月，教育部财政部下发《关于实施中国特色高水平高职学校和专业建设计划，的通知》，标志着新一轮“双高计划”的正式启动，通知透露第二期“双高计划”将集中力量建设60所左右高水平高职学校和160个左右高水平专业群，即第二轮或将建设220所院校，相比首轮197所建设单位，扩容比例约10%，教育部党组书记、部长怀进鹏在《学习时报》撰文中强调，教育强国建设是支撑引领中国式现代化的国家行动计划，肩负</t>
  </si>
  <si>
    <t>徐汇区首个网络安全主题社区党群服务中心正式启用</t>
  </si>
  <si>
    <t>2025-09-08 02:42:00</t>
  </si>
  <si>
    <t>9月5日下午，徐汇区徐家汇街道网络安全主题社区党群服务中心正式启用，深入剖析当前网络安全面临的挑战与应对之道企业数字化转型中的安全策略，深入剖析当前网络安全面临的挑战与应对之道人工智能应用场景与伦理边界，深入剖析当前网络安全面临的挑战与应对之道进一步提升了公众对网络安全与AI技术的认知水平和防护能力，徐家汇街道相关负责人表示网络安全为人民，网络安全靠人民。徐家汇街道相关负责人表示将在市、区网信部</t>
  </si>
  <si>
    <t>2025-09-06 16:04:00</t>
  </si>
  <si>
    <t>走进乡村助力振兴 深入行业感受发展 | 沪上高校学子暑期社会实践③</t>
  </si>
  <si>
    <t>2025-09-04 18:31:00</t>
  </si>
  <si>
    <t>这个暑假，上海高校的学生们踊跃投身社会实践活动，以专业学识为基，在服务社会中践行担当，助力中国式现代化，面对孩子们的提问大学生们引导大小观众观察ph试纸的微妙色差——这是湖水的健康密码，他们走进红色场馆传承红色基因，从历史中汲取力量；深入乡村支教支医，用技能温暖民心；还跨越山海开展调查研究，为乡村振兴贡献智慧，为时代发展注入青春动能，同济大学数学学院本科生党支部“真理”实践团深入云南省云龙县乡村</t>
  </si>
  <si>
    <t>2025-09-04 16:47:00</t>
  </si>
  <si>
    <t>转载请注明上海市教委政务微信“上海教育”这个暑假，上海高校的学生们踊跃投身社会实践活动，以专业学识为基，在服务社会中践行担当，助力中国式现代化，面对孩子们的提问大学生们引导大小观众观察pH试纸的微妙色差——这是湖水的健康密码，他们走进红色场馆传承红色基因，从历史中汲取力量；深入乡村支教支医，用技能温暖民心；还跨越山海开展调查研究，为乡村振兴贡献智慧，为时代发展注入青春动能，一起来看——心怀“国之</t>
  </si>
  <si>
    <t>上海新一轮第二批高水平高职专业群建设（2026-2028年）拟立项名单</t>
  </si>
  <si>
    <t>2025-09-03 10:44:57</t>
  </si>
  <si>
    <t>拟立项名单的公示各有关高校：　　根据《上海市推进新一轮高水平高职学校和专业群建设方案》精神，经学校申报、材料评审、现场答辩等程序，现将上海新一轮第二批高水平高职专业群建设，公示期为2025年9月2日至2025年9月8日，　　如对公布的事项持有异议，可在2025年9月8日之前向市教委职教处书面提出，并签署真实姓名，以单位名义提供意见的，必须署明单位名称并加盖公章，联系方式：秦铭，23116718；</t>
  </si>
  <si>
    <t>2025-09-03 10:30:00</t>
  </si>
  <si>
    <t>　　根据《上海市推进新一轮高水平高职学校和专业群建设方案》精神，经学校申报、材料评审、现场答辩等程序，现将上海新一轮第二批高水平高职专业群建设，公示期为2025年9月2日至2025年9月8日，　　如对公布的事项持有异议，可在2025年9月8日之前向市教委职教处书面提出，并签署真实姓名，以单位名义提供意见的，必须署明单位名称并加盖公章，联系方式：秦铭，23116718；邮箱：wuyi51上海新一轮</t>
  </si>
  <si>
    <t>上海电子信息职业技术学院等申请带有均匀加热功能的卧式真空炉专利，通过检测和调节系统可保证炉体各处温度一致</t>
  </si>
  <si>
    <t>2025-09-02 18:33:10</t>
  </si>
  <si>
    <t>国家知识产权局信息显示，上海电子信息职业技术学院;益发施迈茨工业炉，有限公司申请一项名为“一种带有均匀加热的功能的卧式真空炉”的专利，公开号CN120555705A，申请日期为2025年07月，专利摘要显示，本发明公开了一种带有均匀加热的功能的卧式真空炉，涉及真空炉技术领域，卧式真空炉包括炉体、炉门、真空系统、气氛面板、冷却水系统、气动系统、循环系统、检测和调节系统和底座，炉门与炉体铰接，真空系</t>
  </si>
  <si>
    <t>非遗崇明糕传承与乡村振兴协同创新路径探索——上海“海上瀛洲”团队青年实践</t>
  </si>
  <si>
    <t>2025-08-29 17:26:00</t>
  </si>
  <si>
    <t>中国网·海丝频道</t>
  </si>
  <si>
    <t>2025年暑期，在非遗传承与乡村振兴协同推进背景下，上海电子信息职业技术学院“海上瀛洲”实践团队聚焦国家级非遗崇明糕传承困境，深入崇明齐成村，与手艺人崔文秀及多家销售商交流，开展社会实践，探寻非遗活化与乡村振兴融合新路径，引发青年群体广泛关注，这些销售商均表示年轻人关注少，传统销售模式难以突破，生意不好做，团队分析师刘琪总结说这些问题不仅降低了竞争力，更使非遗技艺的存续岌岌可危。通过综合分析，团</t>
  </si>
  <si>
    <t>德国双元制教育北上广“开花”：职高生实现薪资与观念逆袭</t>
  </si>
  <si>
    <t>2025-08-28 07:35:16</t>
  </si>
  <si>
    <t>运动星球</t>
  </si>
  <si>
    <t>“德国双元制教育北上广复制：职高生成香饽饽”清晨七点，特斯拉上海超级工厂的机械臂调试区，21，广汽埃安人力资源总监坦言传统职高生会操作设备但不懂原理，普通本科生懂原理却不会实操，双元制培养的学生两者兼具。广汽埃安人力资源总监坦言企业为双元制毕业生开出的起薪，比普通本科应届生高 15%，但培训成本降低 60%，正如德国职业教育专家扬・海因策所言均衡的劳动力结构对经济稳定发展发挥着根本性支撑作用。这</t>
  </si>
  <si>
    <t>2025 高职扩招：从“无奈之选”到“梦想云梯”</t>
  </si>
  <si>
    <t>2025-08-28 07:25:44</t>
  </si>
  <si>
    <t>赛场风云</t>
  </si>
  <si>
    <t>“高职扩招引爆报名潮：普高线边缘生的救命稻草”2025，某新能源企业人力资源总监透露高级技师月薪 1.5 万仍招不到人，我们现在直接到职校‘抢人’，提供学费补贴和就业承诺。某新能源企业人力资源总监透露这种产业端的迫切需求，让高职文凭的 含金量 持续攀升，上海落户新政将高级技师纳入优先通道临港新片区就业的技能人才可缩短落户年限；多地对高职毕业生创业提供补贴，技能等级提升可获政府奖励，护理师张萌凭借</t>
  </si>
  <si>
    <t>广德：打造长三角电子电路新高地</t>
  </si>
  <si>
    <t>2025-08-26 14:48:05</t>
  </si>
  <si>
    <t/>
  </si>
  <si>
    <t>集聚安徽省三分之二以上的PCB印制电路板企业和80%的产值，荣获省级电子电路特色产业集群、国家级印制电路板中小企业特色产业集群等荣誉，跻身中国新型PCB产业十大集聚区……从一片“产业荒地”，到如今汇聚92家电子电路规上企业、年产值突破百亿元的产业高地，广德市凭借地处“长三角之心”的黄金区位优势，以“环保破局”“强链补链”“优化营商环境”为核心的系统谋划，在长三角产业转移浪潮中成功突围，铸就了特色</t>
  </si>
  <si>
    <t>广德经开区PCB产业：从“零起步”到“国家队”的百亿跃迁之路</t>
  </si>
  <si>
    <t>2025-08-25 14:45:28</t>
  </si>
  <si>
    <t>产业集群成功纳入安徽省县域制造业特色产业集群布局规划，企业总经理刘云生表示选择广德，正是看中其污水和固废集中处理能力以及完整的配套服务体系。开发区从技术、人才、设施到政策提供一站式服务，让我们可以全心专注于企业发展。企业总经理刘云生表示强链补链，推动产业集群聚链成圈如今走进广德经开区PCB产业园，厂房林立、生产繁忙，电子电路产业在这里已实现从零基础到全链条的跨越式发展，这不仅是对广德经开区电子电</t>
  </si>
  <si>
    <t>2025-08-25 13:57:57</t>
  </si>
  <si>
    <t>2025-08-25 13:56:26</t>
  </si>
  <si>
    <t>产业集群成功纳入安徽省县域制造业特色产业集群布局规划，企业总经理刘云生表示选择广德，正是看中其污水和固废集中处理能力以及完整的配套服务体系。开发区从技术、人才、设施到政策提供一站式服务，让我们可以全心专注于企业发展。这不仅是对广德经开区电子电路产业发展成就的肯定，更标志着其作为该领域“国家队”地位的进一步巩固，作为现代电子产品的核心组件，印制电路板与芯片、面板并称电子信息产业三大元器件，享有“电</t>
  </si>
  <si>
    <t>2025-08-25 13:47:00</t>
  </si>
  <si>
    <t>2025-08-25 13:45:14</t>
  </si>
  <si>
    <t>2025-08-25 13:44:07</t>
  </si>
  <si>
    <t>2025-08-25 13:43:36</t>
  </si>
  <si>
    <t>百度极速版</t>
  </si>
  <si>
    <t>https://mbdcdn.bdstatic.com/newspage/data/landingreact?tplver=1754cf29&amp;ver=20250523&amp;sid=&amp;ext=%7B%22ts%22%3A1756110680115%2C%22showQuery%22%3A2%2C%22appname%22%3A%22lite%22%7D&amp;follow=0&amp;nid=news_9126875876900001609&amp;os=android&amp;select_title=1</t>
  </si>
  <si>
    <t>2025-08-25 13:43:02</t>
  </si>
  <si>
    <t>新民晚报记者 唐闻宜 通讯员 陈娴</t>
  </si>
  <si>
    <t>2025-08-25 13:43:00</t>
  </si>
  <si>
    <t>第二届全国大学生职业规划大赛（上海赛区）暨2025年上海市大学生职业规划大赛获奖名单公布</t>
  </si>
  <si>
    <t>2025-08-21 16:10:00</t>
  </si>
  <si>
    <t>转载请注明上海市教委政务微信“上海教育”为贯彻落实党中央、国务院关于高校毕业生就业工作的决策部署，落实《国务院关于印发“十四五”就业促进规划的通知》精神、《教育部关于举办第二届全国大学生职业规划大赛的通知》要求，根据相关要求，市教委组织开展了第二届全国大学生职业规划大赛，暨2025年上海市大学生职业规划大赛赛事工作，经校级初赛、市级复赛、市级决赛等环节，最终产生学生赛道金奖36项、银奖54项、铜</t>
  </si>
  <si>
    <t>拟选派对象公示！401名科技副总</t>
  </si>
  <si>
    <t>2025-08-21 15:51:49</t>
  </si>
  <si>
    <t>紫牛新闻</t>
  </si>
  <si>
    <t>近日，省科技厅对2025年江苏省科技副总拟选派对象进行公示，全省共有2333名对象入选，其中南京401名，占全省入选对象的17.2%，数量位居全省第一，自2013年起南京市已分13批次从全国141所高校院所选派科技人才1823人次到1693家南京企业兼任科技副总科技副总是江苏首创的引导企业柔性引进科研人才的机制，鼓励支持全国高校院所科技人才到江苏企业兼任科技副总，扎实推动科技创新和产业创新深度融</t>
  </si>
  <si>
    <t>2025-08-21 15:51:00</t>
  </si>
  <si>
    <t>扬子晚报网</t>
  </si>
  <si>
    <t>解码技术洪流中的工匠密码：电子信息学子暑期企业工匠成长路径调研</t>
  </si>
  <si>
    <t>2025-08-21 11:40:23</t>
  </si>
  <si>
    <t>东方网财经</t>
  </si>
  <si>
    <t>智能化设备帮我们解放了双手，但如何设定最优参数、预判细微偏差，靠的还是日积月累的手感和经验，身着防尘服的技术员介绍道这里的每一微米精度，都关乎芯片的成败。智能化设备帮我们解放了双手，但如何设定最优参数、预判细微偏差，靠的还是日积月累的手感和经验。身着防尘服的技术员介绍道同时他又结合技术员的调试动作，向围拢在旁的学生调研团队进一步讲解操作方式与设备精度控制之间的关联，”上海某集成电路设备企业的部门</t>
  </si>
  <si>
    <t>拟选派对象公示，南京入选数量全省第一</t>
  </si>
  <si>
    <t>2025-08-21 11:30:00</t>
  </si>
  <si>
    <t>文明南京</t>
  </si>
  <si>
    <t>2025-08-21 04:19:16</t>
  </si>
  <si>
    <t>近日，省科技厅对2025年江苏省科技副总拟选派对象进行公示，全省共有2333名对象入选，其中南京401名，占全省入选对象的17.2%，数量位居全省第一，科技副总是江苏首创的引导企业柔性引进科研人才的机制，鼓励支持全国高校院所科技人才到江苏企业兼任科技副总，扎实推动科技创新和产业创新深度融合，近年来，我市坚持市区联动，广泛动员宣传，鼓励科技型企业对接高校教师资源，强化与相关高校科研院所的对接联系，</t>
  </si>
  <si>
    <t>2025-08-21 04:16:00</t>
  </si>
  <si>
    <t>智算赋能教育·共育硬核人才 2025龙架构教育生态大会暨信创产教融合共同体大会暨宁夏AI教育生态大会在宁夏成功举办</t>
  </si>
  <si>
    <t>2025-08-12 09:49:27</t>
  </si>
  <si>
    <t>宁夏新闻网</t>
  </si>
  <si>
    <t>8月9日，以“智算赋能教育·共育硬核人才”为主题的2025龙架构教育生态大会暨信息技术与自主创新产教融合共同体第三次全体大会暨宁夏AI教育生态大会在宁夏大学举行，大会汇聚了国内教育领域专家、科研院所、产业伙伴以及“信息技术与产教融合共同体”成员单位，共同围绕在自主信息时代下的龙架构教育生态文明建设、信息技术与自主创新产教融合以及AI教育生态发展等关键议题展开深入交流与探讨，　　会上，中国电信宁夏</t>
  </si>
  <si>
    <t>上海电子信息职业技术学院招聘工作人员31名</t>
  </si>
  <si>
    <t>2025-08-10 15:02:00</t>
  </si>
  <si>
    <t>上海电子信息职业技术学院招聘啦！根据《上海市事业单位公开招聘人员办法》，，按照公开、平等、竞争、择优的原则，现面向社会公开招聘工作人员31名，一招聘基本条件1.遵守中华人民共和国宪法和法律，遵守师德规范，2.具有良好的政治素质、思想素质和道德素质，有较强的服务意识和奉献精神，3.身心健康，能正常履行职责，适应岗位工作要求，4.具备岗位所需的学历、专业、资格、技能等条件，二招聘岗位及具体条件专业技</t>
  </si>
  <si>
    <t>2025年海南省普通高校招生录取高职（专科）批平行志愿院校专业组投档分数线</t>
  </si>
  <si>
    <t>2025-08-09 18:36:46</t>
  </si>
  <si>
    <t>椰网</t>
  </si>
  <si>
    <t>（原标题：2025年海南省普通高校招生录取高职（专科）批平行志愿院校专业组投档分数线）刘如英内容审核：吴钟旺院校专业 院校专业组名称 投档线 科目要求 组代码 006801 北京经贸职业学院（01） 427 000 007201 北京科技经营管理学院（01) 412 000 011601 天津市职业大学（01） 518 000 011701 天津医学高等专科学校（01) 506 000 0117</t>
  </si>
  <si>
    <t>2025-08-09 16:29:37</t>
  </si>
  <si>
    <t>上海电子信息职业技术学院等申请计算机机箱防护装置专利，可对过滤网表面附着的粉尘杂质进行自动清洁处理</t>
  </si>
  <si>
    <t>2025-08-08 12:16:03</t>
  </si>
  <si>
    <t>金融界网站</t>
  </si>
  <si>
    <t>8月8日消息，国家知识产权局信息显示，上海电子信息职业技术学院;河南圣坛软件开发有限公司申请一项名为“计算机机箱防护装置”的专利，公开号CN120447692A，申请日期为2025年04月，专利摘要显示，本发明属于计算机设备技术领域，公开了计算机机箱防护装置，其技术要点是：包括机箱，所述机箱侧壁设置有箱门，所述箱门表面开设有多组均匀分布的散热孔，所述箱门内侧壁固定安装有固定箱，所述箱门内侧壁设置</t>
  </si>
  <si>
    <t>2025-08-08 12:14:24</t>
  </si>
  <si>
    <t>2025-08-08 12:11:15</t>
  </si>
  <si>
    <t>2025-08-08 12:02:03</t>
  </si>
  <si>
    <t>情报员</t>
  </si>
  <si>
    <t>2025-08-08 12:02:00</t>
  </si>
  <si>
    <t>35所高职入选！第六批“麒麟工坊”实训基地共建单位公布</t>
  </si>
  <si>
    <t>2025-08-08 10:44:34</t>
  </si>
  <si>
    <t>　　近日，工业和信息化部教育与考试中心正式发布《关于发布第六批“麒麟工坊”实训基地共建单位名单的通知》，经自主申报、线上线下考察、专家评议等工作程序，确定了第六批“麒麟工坊”实训基地共建单位，共50所高校入选，其中高职院校35所，　　麒麟工坊是工信部深入贯彻落实加快推进新型工业化、建设制造强国、网络强国的战略部署，培养国家急需紧缺国产操作系统专业技术人才，与麒麟软件有限公司面向普通高等学校、职业</t>
  </si>
  <si>
    <t>2025-08-08 10:28:00</t>
  </si>
  <si>
    <t>2025中美青年创客大赛总决赛圆满收官</t>
  </si>
  <si>
    <t>2025-08-06 17:48:52</t>
  </si>
  <si>
    <t>近日，2025中美青年创客大赛总决赛暨国际青少年人工智能机器人创新交流营颁奖典礼在中国宋庆龄青少年科技文化交流中心未来剧院举行，两大活动吸引了来自中美近500名青年创客和200名来自中国、美国、加拿大、土耳其、瑞士、波黑、罗马尼亚和匈牙利的青少年机器人爱好者共同参与，展开跨领域、跨文化的深度碰撞与交流，中华人民共和国教育部国际合作与交流司副司长赵磊、中国，留学服务中心副主任夏建辉、中国宋庆龄青少</t>
  </si>
  <si>
    <t>2025-08-06 17:48:00</t>
  </si>
  <si>
    <t>　　近日，2025中美青年创客大赛总决赛暨国际青少年人工智能机器人创新交流营颁奖典礼在中国宋庆龄青少年科技文化交流中心未来剧院举行，两大活动吸引了来自中美近500名青年创客和200名来自中国、美国、加拿大、土耳其、瑞士、波黑、罗马尼亚和匈牙利的青少年机器人爱好者共同参与，展开跨领域、跨文化的深度碰撞与交流，　　中华人民共和国教育部国际合作与交流司副司长赵磊、中国，留学服务中心副主任夏建辉、中国宋</t>
  </si>
  <si>
    <t>光明经济</t>
  </si>
  <si>
    <t>2025中美青年创客大赛暨国际青少年机器人交流营在京成功举办</t>
  </si>
  <si>
    <t>2025-08-06 11:54:56</t>
  </si>
  <si>
    <t>时间财经</t>
  </si>
  <si>
    <t>留学服务中心、清华大学、北京歌华文化发展集团有限公司、中国大学科技园联盟及美有关合作方联合承办的2025年“共创未来”中美青年创客大赛，今年还创新开辟了中美联合组队赛道收到11件优秀作品，并同期举办国际青少年人工智能机器人创新交流营活动，赵军副主任表示中美青少年在机器人创意设计中结下的友谊仍历历在目，总决赛于8月2日至8月3日在北京中华世纪坛成功举办，同时，为落实习近平主席关于“未来5年邀请5万</t>
  </si>
  <si>
    <t>2025-08-06 11:28:00</t>
  </si>
  <si>
    <t>北京时间财经</t>
  </si>
  <si>
    <t>2025中美青年创客大赛总决赛在京举办</t>
  </si>
  <si>
    <t>2025-08-05 20:10:07</t>
  </si>
  <si>
    <t>8月4日，2025年“共创未来”中美青年创客大赛，本届大赛设立职业院校专项赛道推动创新教育普惠化；设立中美联合组队奖项机制，强化协作基因，总决赛暨2025国际青少年人工智能机器人创新交流营，颁奖典礼在中国宋庆龄青少年科技文化交流中心未来剧院举行，两大活动吸引来自中美近500名青年创客和200名来自中国、美国、加拿大、土耳其、瑞士、波黑、罗马尼亚和匈牙利的青少年机器人爱好者共同参与，展开跨领域、跨</t>
  </si>
  <si>
    <t>2025-08-05 20:08:00</t>
  </si>
  <si>
    <t>2025-08-05 20:06:00</t>
  </si>
  <si>
    <t>2025-08-05 20:05:57</t>
  </si>
  <si>
    <t>2025-08-05 20:05:00</t>
  </si>
  <si>
    <t>央广网客户端</t>
  </si>
  <si>
    <t>商业媒体,投诉</t>
  </si>
  <si>
    <t>2025中美青年创客大赛总决赛暨国际青少年人工智能机器人创新交流营成功举办</t>
  </si>
  <si>
    <t>2025-08-05 09:58:26</t>
  </si>
  <si>
    <t>东北网</t>
  </si>
  <si>
    <t>留学服务中心、清华大学、北京歌华文化发展集团有限公司、中国大学科技园联盟及美有关合作方联合承办的2025年“共创未来”中美青年创客大赛，今年还创新开辟了中美联合组队赛道收到11件优秀作品，并同期举办国际青少年人工智能机器人创新交流营活动，祁永清副书记表示经过多年打造，此项注重人文交流、对话合作、倡导创客精神、引导青年发现和解决问题能力的大型国际赛事，已经发展成为两国数十座城市、上百所高校参与的重</t>
  </si>
  <si>
    <t>2025-08-04 18:06:22</t>
  </si>
  <si>
    <t>2025年“共创未来”中美青年创客大赛总决赛，暨2025国际青少年人工智能机器人创新交流营颁奖典礼于8月4日上午在中国宋庆龄青少年科技文化交流中心未来剧院举行，留学服务中心、清华大学、北京歌华文化发展集团有限公司、中国大学科技园联盟及美有关合作方联合承办，总决赛于8月2日至8月3日在北京中华世纪坛成功举办，同期举办的“2025国际青少年人工智能机器人创新交流营”汇聚了来自，中国、美国、加拿大、土</t>
  </si>
  <si>
    <t>2025-08-04 18:04:00</t>
  </si>
  <si>
    <t>北青热点</t>
  </si>
  <si>
    <t>2025-08-04 18:01:14</t>
  </si>
  <si>
    <t>2025年“共创未来”中美青年创客大赛总决赛，暨2025国际青少年人工智能机器人创新交流营颁奖典礼于8月4日上午在中国宋庆龄青少年科技文化交流中心未来剧院举行，留学服务中心、清华大学、北京歌华文化发展集团有限公司、中国大学科技园联盟及美有关合作方联合承办，总决赛于8月2日至8月3日在北京中华世纪坛成功举办，同期举办的“2025国际青少年人工智能机器人创新交流营”汇聚了来自中国、美国、加拿大、土耳</t>
  </si>
  <si>
    <t>2025-08-04 18:01:00</t>
  </si>
  <si>
    <t>青瞳视角</t>
  </si>
  <si>
    <t>北京青年报</t>
  </si>
  <si>
    <t>18岁毕业年薪可达15-18万，上海首个培养消防员专业迎来首届毕业生</t>
  </si>
  <si>
    <t>2025-08-04 10:14:33</t>
  </si>
  <si>
    <t>文汇报 张鹏 实习生 吴梓艺</t>
  </si>
  <si>
    <t>    黝黑的皮肤、身穿火焰蓝作训服，背挺得笔直坐在椅子上……走进上海市市北职业高级中学，面前的三位应急救援技术专业学生留给记者的第一印象便是训练有素、有超越普通高中生的沉稳大气，市北职业高级中学副校长孔令笑言刚入学的学生中还有几个小胖墩，毕业时，各个都是运动高手。班主任郑莉笑道有些学生听到入学后必须剪成‘板寸头’，刚开始很不乐意。班主任郑莉笑道面对一群十五六岁的好动少年，早就预计到要培养他们的</t>
  </si>
  <si>
    <t>【菁菁教苑】从校服到消防服,“火焰蓝”这样炼成</t>
  </si>
  <si>
    <t>2025-08-02 08:31:27</t>
  </si>
  <si>
    <t>张鹏 吴梓艺</t>
  </si>
  <si>
    <t>皮肤黝黑，身穿火焰蓝作训服，背挺得笔直坐在椅子上……走进上海市市北职业高级中学，面前的三位应急救援技术专业学生留给记者的第一印象，便是训练有素、有超越普通高中生的沉稳大气，市北职业高级中学副校长孔令笑言刚入学的学生中还有几个小胖墩，毕业时，个个都是运动高手。班主任郑莉笑道有些学生听到入学后必须剪成板寸头，刚开始很不乐意。班主任郑莉笑道面对一群十五六岁的好动少年，早就预计到培养他们的纪律意识并非易</t>
  </si>
  <si>
    <t>2025-08-01 22:21:22</t>
  </si>
  <si>
    <t>黝黑的皮肤、身穿火焰蓝作训服，背挺得笔直坐在椅子上……走进上海市市北职业高级中学，面前的三位应急救援技术专业学生留给记者的第一印象便是训练有素、有超越普通高中生的沉稳大气，市北职业高级中学副校长孔令笑言刚入学的学生中还有几个小胖墩，毕业时，各个都是运动高手。班主任郑莉笑道有些学生听到入学后必须剪成‘板寸头’，刚开始很不乐意。班主任郑莉笑道面对一群十五六岁的好动少年，早就预计到要培养他们的纪律意识</t>
  </si>
  <si>
    <t>18 岁毕业年薪可达 15-18 万，上海首个培养消防员专业迎来首届毕业生</t>
  </si>
  <si>
    <t>2025-08-01 21:45:24</t>
  </si>
  <si>
    <t>黝黑的皮肤、身穿火焰蓝作训服，背挺得笔直坐在椅子上……走进上海市市北职业高级中学，面前的三位应急救援技术专业学生留给记者的第一印象便是训练有素、有超越普通高中生的沉稳大气，班主任郑莉笑道面对一群十五六岁的好动少年，早就预计到要培养他们的纪律意识并非易事，如何培养适合上海城市建设发展的应急消防人才，三年前，在上海市教委和市消防总队指导下，市北职高建设全市首个应急救援技术中职专业，随后，上海电子信息</t>
  </si>
  <si>
    <t>2025-08-01 21:44:45</t>
  </si>
  <si>
    <t>2025-08-01 21:40:32</t>
  </si>
  <si>
    <t>2025-08-01 21:37:11</t>
  </si>
  <si>
    <t>2025-08-01 21:31:08</t>
  </si>
  <si>
    <t>2025-08-01 21:31:00</t>
  </si>
  <si>
    <t>2025-08-01 21:30:29</t>
  </si>
  <si>
    <t>2025-08-01 21:30:00</t>
  </si>
  <si>
    <t>首批26名应急救援专业学生毕业，有9人加入上海市政府专职消防队，其余升入高职黝黑的皮肤、身穿火焰蓝作训服，背挺得笔直坐在椅子上……走进上海市市北职业高级中学，面前的三位应急救援技术专业学生留给记者的第一印象便是训练有素、有超越普通高中生的沉稳大气，市北职业高级中学副校长孔令笑言刚入学的学生中还有几个小胖墩，毕业时，各个都是运动高手。班主任郑莉笑道有些学生听到入学后必须剪成‘板寸头’，刚开始很不乐</t>
  </si>
  <si>
    <t>2025第二届“同契之光”海峡两岸动漫时尚设计大赛</t>
  </si>
  <si>
    <t>2025-08-01 11:38:52</t>
  </si>
  <si>
    <t>继首届“同契之光”海峡两岸青少年动漫绘画大赛取得圆满成功后，策划的第二届“同契之光”海峡两岸动漫时尚设计周再次通过专家评审，被列为上海市涉台交流重点项目，并被纳入“两岸青年汇”大型交流活动，2025第二届“同契之光”海峡两岸动漫时尚设计作品评选征集活动正式启动，诚邀海峡两岸青年以艺术为媒介携手探索未来，共同守护文化根脉，用设计创意描绘出属于我们的国风国潮，01大赛意义 推动两岸同胞共同弘扬中华文</t>
  </si>
  <si>
    <t>以改革之力推动职业教育新发展 | 党的二十届三中全会以来教育综合改革进展述评④</t>
  </si>
  <si>
    <t>2025-07-30 10:06:00</t>
  </si>
  <si>
    <t>吉林市教育</t>
  </si>
  <si>
    <t>提出的“加快建设现代职业教育体系，培养大国工匠、能工巧匠、高技能人才”的重点任务，一年来，从顶层设计到基层实践，围绕构建职普融通、产教融合的现代职业教育体系，职业教育正以前所未有的改革力度向“深水区”挺进，职业教育改革以职普融通拓宽学生成长成才通道让不同禀赋的学生能够多次选择、终身学习、多样化成才，跟小编一起来看《中国教育报》报道——打开APP，查看更多精彩图片职业教育担负着为推进中国式现代化培</t>
  </si>
  <si>
    <t>2026年奉贤区政府为民办实事项目征集通道开启啦~</t>
  </si>
  <si>
    <t>2025-07-28 21:31:00</t>
  </si>
  <si>
    <t>2026年奉贤区政府为民办实事项目征集通道开启，为上海双木散热器制造有限公司部分员工开展培训，区治安支队、庄行派出所民警至庄行镇汇安村研究社区少年服务队帮扶方案，新建公交候车亭、公交站点适老化改造及候车亭座椅更新，完成管线交底、施工方案编制和报批等施工准备工作，为70岁以上免费配送卡液化气用户更换安全型燃气灶具，新增筹措供应新时代城市建设者管理者之家床位，海湾旅游区社区文化活动中心教学点舞韵瑜伽</t>
  </si>
  <si>
    <t>铜陵职业技术学院入选工信部第六批“麒麟工坊”实训基地共建单位</t>
  </si>
  <si>
    <t>2025-07-28 09:02:00</t>
  </si>
  <si>
    <t>安徽网</t>
  </si>
  <si>
    <t>近日，工业和信息化部教育与考试中心公布第六批“麒麟工坊”实训基地共建单位名单，铜陵职业技术学院成功获批，该项目通过打造集科技创新、人才培养、企业合作于一体的综合性平台，为学生提供实践与创新机会，助力培育高素质人才，自申报工作启动以来，学院高度重视、积极响应，信息工程，系信息安全技术应用专业教学团队精心筹备材料，历经自主申报、线上答辩、专家评议等环节，最终成功入选，系将以实训基地为全新起点，将其打</t>
  </si>
  <si>
    <t>以改革之力推动职业教育新发展</t>
  </si>
  <si>
    <t>2025-07-28 07:47:41</t>
  </si>
  <si>
    <t>中国产业经济信息网</t>
  </si>
  <si>
    <t>　　职业教育担负着为推进中国式现代化培养更多高技能人才的重要使命，职业教育改革以职普融通拓宽学生成长成才通道让不同禀赋的学生能够多次选择、终身学习、多样化成才，党的二十届三中全会《决定》提出“加快构建职普融通、产教融合的职业教育体系”，为进一步深化职业教育改革指明方向，提出的“加快建设现代职业教育体系，培养大国工匠、能工巧匠、高技能人才”的重点任务，一年来，从顶层设计到基层实践，围绕构建职普融通</t>
  </si>
  <si>
    <t>就在明天！招办来现场教你填志愿！</t>
  </si>
  <si>
    <t>2025-07-25 16:53:24</t>
  </si>
  <si>
    <t>海峡教育报</t>
  </si>
  <si>
    <t>常规批次志愿7月29日开始填报面对众多院校与专业很多考生和家长会觉得无从下手院校和专业哪个更重要，.......这场咨询会就能帮到你！重磅活动为帮助学生选到理想的高职院校，由海峡教育报社主办的“2025年福建省普通高校招生咨询会高职，专场”将于7月26日9:00—12:00在福州香格里拉大酒店举办，本次咨询会吸引了全国各地在闽招生的高职院校，届时，考生和家长可针对志愿填报相关问题，面对面咨询院校</t>
  </si>
  <si>
    <t>2025-07-23 14:55:33</t>
  </si>
  <si>
    <t>提出的“加快建设现代职业教育体系，培养大国工匠、能工巧匠、高技能人才”的重点任务，一年来，从顶层设计到基层实践，围绕构建职普融通、产教融合的现代职业教育体系，职业教育正以前所未有的改革力度向“深水区”挺进，职业教育改革以职普融通拓宽学生成长成才通道让不同禀赋的学生能够多次选择、终身学习、多样化成才，一起来看《中国教育报》报道——职业教育担负着为推进中国式现代化培养更多高技能人才的重要使命，党的二</t>
  </si>
  <si>
    <t>2025-07-23 14:46:02</t>
  </si>
  <si>
    <t>提出的“加快建设现代职业教育体系，培养大国工匠、能工巧匠、高技能人才”的重点任务，一年来，从顶层设计到基层实践，围绕构建职普融通、产教融合的现代职业教育体系，职业教育正以前所未有的改革力度向“深水区”挺进，职业教育担负着为推进中国式现代化培养更多高技能人才的重要使命，党的二十届三中全会《决定》提出“加快构建职普融通、产教融合的职业教育体系”，为进一步深化职业教育改革指明方向，服务好支撑好产业发展</t>
  </si>
  <si>
    <t>2025-07-22 16:16:00</t>
  </si>
  <si>
    <t>云南省教育厅</t>
  </si>
  <si>
    <t>提出的“加快建设现代职业教育体系，培养大国工匠、能工巧匠、高技能人才”的重点任务，一年来，从顶层设计到基层实践，围绕构建职普融通、产教融合的现代职业教育体系，职业教育正以前所未有的改革力度向“深水区”挺进，职业教育改革以职普融通拓宽学生成长成才通道让不同禀赋的学生能够多次选择、终身学习、多样化成才，一起来看《中国教育报》报道——打开APP，查看更多精彩图片以改革之力推动职业教育新发展——党的二十</t>
  </si>
  <si>
    <t>2025-07-22 14:58:00</t>
  </si>
  <si>
    <t>中国教育网</t>
  </si>
  <si>
    <t>职业教育担负着为推进中国式现代化培养更多高技能人才的重要使命，职业教育改革以职普融通拓宽学生成长成才通道让不同禀赋的学生能够多次选择、终身学习、多样化成才，党的二十届三中全会《决定》提出“加快构建职普融通、产教融合的职业教育体系”，为进一步深化职业教育改革指明方向，提出的“加快建设现代职业教育体系，培养大国工匠、能工巧匠、高技能人才”的重点任务，一年来，从顶层设计到基层实践，围绕构建职普融通、产</t>
  </si>
  <si>
    <t>2025-07-22 08:55:16</t>
  </si>
  <si>
    <t>2025-07-22 08:54:00</t>
  </si>
  <si>
    <t>2025-07-22 08:53:40</t>
  </si>
  <si>
    <t>2025-07-22 08:53:00</t>
  </si>
  <si>
    <t>到专科批了！怎么报？</t>
  </si>
  <si>
    <t>2025-07-22 04:00:42</t>
  </si>
  <si>
    <t>7月23日19:30，《海峡教育报》高考高招资深记者将为考生志愿填报支招，院校专场，将吸引众多全国各地在闽招生的高职院校到场，届时，考生与家长可针对志愿填报相关问题，面对面咨询院校招办老师。</t>
  </si>
  <si>
    <t>2025-07-21 22:00:00</t>
  </si>
  <si>
    <t>江西省教育厅</t>
  </si>
  <si>
    <t>提出的“加快建设现代职业教育体系，培养大国工匠、能工巧匠、高技能人才”的重点任务，一年来，从顶层设计到基层实践，围绕构建职普融通、产教融合的现代职业教育体系，职业教育正以前所未有的改革力度向“深水区”挺进，职业教育改革以职普融通拓宽学生成长成才通道让不同禀赋的学生能够多次选择、终身学习、多样化成才，跟小编一起来看《中国教育报》报道——打开APP，查看更多精彩图片以改革之力推动职业教育新发展——党</t>
  </si>
  <si>
    <t>2025-07-21 19:12:56</t>
  </si>
  <si>
    <t>中国教育之声</t>
  </si>
  <si>
    <t>以改革之力推动职业教育新发展——党的二十届三中全会以来教育综合改革进展述评之四职业教育担负着为推进中国式现代化培养更多高技能人才的重要使命，职业教育改革以职普融通拓宽学生成长成才通道让不同禀赋的学生能够多次选择、终身学习、多样化成才，提出的“加快建设现代职业教育体系，培养大国工匠、能工巧匠、高技能人才”的重点任务，一年来，从顶层设计到基层实践，围绕构建职普融通、产教融合的现代职业教育体系，职业教</t>
  </si>
  <si>
    <t>2025-07-21 17:53:50</t>
  </si>
  <si>
    <t>常规批次志愿7月29日开始填报专业志愿怎么填，……7月23日19:302025年福建普通高考专科批志愿填报策略线上讲座以及7月26日9:00—12:00在福州香格里拉大酒店举办的“2025年福建省普通高校招生咨询会高职，专场”能帮助到你！线上讲座如何通过高考成绩和排名定位高校，方式一扫码加入“2025年海峡教育报高招交流群”届时我们会将直播链接发送至群里方式二关注海峡教育报微信公众号点击进行预约</t>
  </si>
  <si>
    <t>2025-07-21 16:02:44</t>
  </si>
  <si>
    <t>微言教育</t>
  </si>
  <si>
    <t>提出的“加快建设现代职业教育体系，培养大国工匠、能工巧匠、高技能人才”的重点任务，一年来，从顶层设计到基层实践，围绕构建职普融通、产教融合的现代职业教育体系，职业教育正以前所未有的改革力度向“深水区”挺进，职业教育改革以职普融通拓宽学生成长成才通道让不同禀赋的学生能够多次选择、终身学习、多样化成才，——党的二十届三中全会以来教育综合改革进展述评之四，职业教育担负着为推进中国式现代化培养更多高技能</t>
  </si>
  <si>
    <t>以改革之力推动职业教育新发展｜党的二十届三中全会以来教育综合改革进展述评④</t>
  </si>
  <si>
    <t>2025-07-21 16:02:00</t>
  </si>
  <si>
    <t>2025-07-21 16:00:56</t>
  </si>
  <si>
    <t>提出的“加快建设现代职业教育体系，培养大国工匠、能工巧匠、高技能人才”的重点任务，一年来，从顶层设计到基层实践，围绕构建职普融通、产教融合的现代职业教育体系，职业教育正以前所未有的改革力度向“深水区”挺进，职业教育改革以职普融通拓宽学生成长成才通道让不同禀赋的学生能够多次选择、终身学习、多样化成才，跟教育小微一起来看《中国教育报》报道——以改革之力推动职业教育新发展——党的二十届三中全会以来教育</t>
  </si>
  <si>
    <t>【以改革之力推动职业教育新发展——党的二十届三中全会以来教育综合改革进展述评之四】职业教育担负着为推进中国式现代化培养更多高技能人才的重要使命。党的二十届三中全会《决定》提出“加快构建职普融通、产教融</t>
  </si>
  <si>
    <t>2025-07-21 15:30:00</t>
  </si>
  <si>
    <t>2025-07-21 15:15:04</t>
  </si>
  <si>
    <t>改革网</t>
  </si>
  <si>
    <t>参会者在2024年世界职业技术教育发展大会职业教育专题展上参观C919飞机模拟器，职业教育改革以职普融通拓宽学生成长成才通道让不同禀赋的学生能够多次选择、终身学习、多样化成才，上海市中小学生在上海市工业技术学校实训中心参与工业机器人项目职业体验活动，资料图片职业教育担负着为推进中国式现代化培养更多高技能人才的重要使命，党的二十届三中全会《决定》提出“加快构建职普融通、产教融合的职业教育体系”，为</t>
  </si>
  <si>
    <t>2025-07-21 15:08:00</t>
  </si>
  <si>
    <t>青海教育</t>
  </si>
  <si>
    <t>2025-07-21 15:05:00</t>
  </si>
  <si>
    <t>参会者在2024年世界职业技术教育发展大会职业教育专题展上参观C919飞机模拟器，职业教育改革以职普融通拓宽学生成长成才通道让不同禀赋的学生能够多次选择、终身学习、多样化成才，上海市中小学生在上海市工业技术学校实训中心参与工业机器人项目职业体验活动，职业教育担负着为推进中国式现代化培养更多高技能人才的重要使命，党的二十届三中全会《决定》提出“加快构建职普融通、产教融合的职业教育体系”，为进一步深</t>
  </si>
  <si>
    <t>2025-07-21 14:46:26</t>
  </si>
  <si>
    <t>2025-07-21 14:38:51</t>
  </si>
  <si>
    <t>2025-07-21 14:23:51</t>
  </si>
  <si>
    <t>以改革之力推动职业教育新发展——党的二十届三中全会以来教育综合改革进展述评之四</t>
  </si>
  <si>
    <t>2025-07-21 14:18:00</t>
  </si>
  <si>
    <t>2025-07-21 12:56:58</t>
  </si>
  <si>
    <t>中国教育发布</t>
  </si>
  <si>
    <t>2025-07-21 12:33:19</t>
  </si>
  <si>
    <t>2025-07-21 12:15:11</t>
  </si>
  <si>
    <t>2025-07-21 12:06:00</t>
  </si>
  <si>
    <t>2025-07-21 11:48:37</t>
  </si>
  <si>
    <t>教育部网站</t>
  </si>
  <si>
    <t>以改革之力推动职业教育新发展 | 党的二十届三中全会以来教育综合改革进展述评</t>
  </si>
  <si>
    <t>智育智教，创见未来：“教育智能体创新应用”论坛在上海圆满举办</t>
  </si>
  <si>
    <t>2025-07-21 11:22:00</t>
  </si>
  <si>
    <t>中国教育导报</t>
  </si>
  <si>
    <t>启幕前夕，由上海开放远程教育工程技术研究中心主办的“教育智能体创新应用”论坛在沪举办，共话世界人工智能背景下的教育融合与应用，郑益慧在致辞中表示《教育强国建设规划纲要》明确了构建 的战略目标，郑益慧在致辞中表示泛在可及的终身教育体系，同时他也指出在应用方案落地时，除了技术突破的目标，还需考虑业务应用目标的局限性，本次论坛以“智育智教，创见未来”为主题，汇集高等教育、基础教育、终身教育等多元领域的</t>
  </si>
  <si>
    <t>以改革之力推动职业教育新发展 ——党的二十届三中全会以来教育综合改革进展述评之四</t>
  </si>
  <si>
    <t>2025-07-21 10:10:48</t>
  </si>
  <si>
    <t>【以改革之力推动职业教育新发展】职业教育担负着为推进中国式现代化培养更多高技能人才的重要使命。党的二十届三中全会《决定》提出“加快构建职普融通、产教融合的职业教育体系”，为进一步深化职业教育改革指明方</t>
  </si>
  <si>
    <t>2025-07-21 10:00:19</t>
  </si>
  <si>
    <t>以改革之力推动职业教育新发展职业教育担负着为推进中国式现代化培养更多高技能人才的重要使命，党的二十届三中全会《决定》提出“加快构建职普融通、产教融合的职业教育体系”，为进一步深化职业教育改革指明方向，提出的“加快建设现代职业教育体系，培养大国工匠、能工巧匠、高技能人才”的重点任务，一年来，从顶层设计到基层实践，围绕构建职普融通、产教融合的现代职业教育体系，职业教育正以前所未有的改革力度向“深水区</t>
  </si>
  <si>
    <t>2025-07-21 09:59:39</t>
  </si>
  <si>
    <t>以改革之力推动职业教育新发展职业教育担负着为推进中国式现代化培养更多高技能人才的重要使命，职业教育改革以职普融通拓宽学生成长成才通道让不同禀赋的学生能够多次选择、终身学习、多样化成才，党的二十届三中全会《决定》提出“加快构建职普融通、产教融合的职业教育体系”，为进一步深化职业教育改革指明方向，提出的“加快建设现代职业教育体系，培养大国工匠、能工巧匠、高技能人才”的重点任务，一年来，从顶层设计到基</t>
  </si>
  <si>
    <t>2025-07-21 09:40:00</t>
  </si>
  <si>
    <t>中国青年网</t>
  </si>
  <si>
    <t>2025-07-21 09:16:21</t>
  </si>
  <si>
    <t>2025-07-21 09:13:10</t>
  </si>
  <si>
    <t>参会者在2024年世界职业技术教育发展大会职业教育专题展上参观C919飞机模拟器，职业教育改革以职普融通拓宽学生成长成才通道让不同禀赋的学生能够多次选择、终身学习、多样化成才，上海市中小学生在上海市工业技术学校实训中心参与工业机器人项目职业体验活动，资料图片　　职业教育担负着为推进中国式现代化培养更多高技能人才的重要使命，党的二十届三中全会《决定》提出“加快构建职普融通、产教融合的职业教育体系”</t>
  </si>
  <si>
    <t>2025-07-21 09:09:00</t>
  </si>
  <si>
    <t>以改革之力推动职业教育新发展——党的二十届三中全会以来教育综合改革进展述评之四，职业教育改革以职普融通拓宽学生成长成才通道让不同禀赋的学生能够多次选择、终身学习、多样化成才，职业教育担负着为推进中国式现代化培养更多高技能人才的重要使命，提出的“加快建设现代职业教育体系，培养大国工匠、能工巧匠、高技能人才”的重点任务，一年来，从顶层设计到基层实践，围绕构建职普融通、产教融合的现代职业教育体系，职业</t>
  </si>
  <si>
    <t>2025-07-21 08:44:50</t>
  </si>
  <si>
    <t>教育路边社</t>
  </si>
  <si>
    <t>——党的二十届三中全会以来教育综合改革进展述评之四，职业教育改革以职普融通拓宽学生成长成才通道让不同禀赋的学生能够多次选择、终身学习、多样化成才，职业教育担负着为推进中国式现代化培养更多高技能人才的重要使命，提出的“加快建设现代职业教育体系，培养大国工匠、能工巧匠、高技能人才”的重点任务，一年来，从顶层设计到基层实践，围绕构建职普融通、产教融合的现代职业教育体系，职业教育正以前所未有的改革力度向</t>
  </si>
  <si>
    <t>2025-07-21 08:22:30</t>
  </si>
  <si>
    <t>2025-07-21 08:15:43</t>
  </si>
  <si>
    <t>——党的二十届三中全会以来教育综合改革进展述评之四职业教育担负着为推进中国式现代化培养更多高技能人才的重要使命，职业教育改革以职普融通拓宽学生成长成才通道让不同禀赋的学生能够多次选择、终身学习、多样化成才，提出的“加快建设现代职业教育体系，培养大国工匠、能工巧匠、高技能人才”的重点任务，一年来，从顶层设计到基层实践，围绕构建职普融通、产教融合的现代职业教育体系，职业教育正以前所未有的改革力度向“</t>
  </si>
  <si>
    <t>2025-07-21 08:15:00</t>
  </si>
  <si>
    <t>打开APP，查看更多精彩图片以改革之力推动职业教育新发展——党的二十届三中全会以来教育综合改革进展述评之四职业教育担负着为推进中国式现代化培养更多高技能人才的重要使命，职业教育改革以职普融通拓宽学生成长成才通道让不同禀赋的学生能够多次选择、终身学习、多样化成才，提出的“加快建设现代职业教育体系，培养大国工匠、能工巧匠、高技能人才”的重点任务，一年来，从顶层设计到基层实践，围绕构建职普融通、产教融</t>
  </si>
  <si>
    <t>2025-07-21 07:11:00</t>
  </si>
  <si>
    <t>参会者在2024年世界职业技术教育发展大会职业教育专题展上参观C919飞机模拟器，职业教育改革以职普融通拓宽学生成长成才通道让不同禀赋的学生能够多次选择、终身学习、多样化成才，上海市中小学生在上海市工业技术学校实训中心参与工业机器人项目职业体验活动，　　职业教育担负着为推进中国式现代化培养更多高技能人才的重要使命，党的二十届三中全会《决定》提出“加快构建职普融通、产教融合的职业教育体系”，为进一</t>
  </si>
  <si>
    <t>2025-07-21 07:09:09</t>
  </si>
  <si>
    <t>2025-07-21 07:07:00</t>
  </si>
  <si>
    <t>打开APP，查看更多精彩图片参会者在2024年世界职业技术教育发展大会职业教育专题展上参观C919飞机模拟器，职业教育改革以职普融通拓宽学生成长成才通道让不同禀赋的学生能够多次选择、终身学习、多样化成才，上海市中小学生在上海市工业技术学校实训中心参与工业机器人项目职业体验活动，资料图片职业教育担负着为推进中国式现代化培养更多高技能人才的重要使命，党的二十届三中全会《决定》提出“加快构建职普融通、</t>
  </si>
  <si>
    <t>上海援疆教师张荣鉴：以担当精神书写教育情怀</t>
  </si>
  <si>
    <t>2025-07-17 09:08:08</t>
  </si>
  <si>
    <t>张荣鉴张荣鉴，中共党员，上海第二工业大学图书馆，副馆长，上海市第十一批援疆干部人才，中组部援喀什理工职业技术学院工作队成员，现任喀什理工职业技术学院党委委员、副院长、图文信息中心主任，怀揣着对教育事业的无限热忱和对援疆工作的坚定信念，跨越千山万水，从东海之滨的上海来到了祖国西部的喀什，投身于喀什理工职业技术学院的建设与发展之中，面对一所成立时间短、各项工作尚在起步阶段的学校，张荣鉴深知任务艰巨，</t>
  </si>
  <si>
    <t>2025-07-17 08:16:05</t>
  </si>
  <si>
    <t>副馆长，上海市第十一批援疆干部人才，中组部援喀什理工职业技术学院工作队成员，现任喀什理工职业技术学院党委委员、副院长、图文信息中心主任，怀揣着对教育事业的无限热忱和对援疆工作的坚定信念，跨越千山万水，从东海之滨的上海来到了祖国西部的喀什，投身于喀什理工职业技术学院的建设与发展之中，面对一所成立时间短、各项工作尚在起步阶段的学校，张荣鉴深知任务艰巨，他没有丝毫退缩，而是迅速调整状态，全身心地投入到</t>
  </si>
  <si>
    <t>2025-07-17 08:10:09</t>
  </si>
  <si>
    <t>2025-07-17 08:08:01</t>
  </si>
  <si>
    <t>2025-07-17 08:05:20</t>
  </si>
  <si>
    <t>2025-07-17 08:05:00</t>
  </si>
  <si>
    <t>打开APP，查看更多精彩图片张荣鉴张荣鉴，中共党员，上海第二工业大学图书馆，副馆长，上海市第十一批援疆干部人才，中组部援喀什理工职业技术学院工作队成员，现任喀什理工职业技术学院党委委员、副院长、图文信息中心主任，怀揣着对教育事业的无限热忱和对援疆工作的坚定信念，跨越千山万水，从东海之滨的上海来到了祖国西部的喀什，投身于喀什理工职业技术学院的建设与发展之中，面对一所成立时间短、各项工作尚在起步阶段</t>
  </si>
  <si>
    <t>沪2025年中职校自主招收随迁子女五年一贯制和中高职贯通各专业最低录取分数线公布</t>
  </si>
  <si>
    <t>2025-07-13 20:36:08</t>
  </si>
  <si>
    <t>来源：上海市教育考试院2025年上海市中等职业学校自主招收随迁子女五年一贯制和中高职贯通各专业最低录取分数线公布，详见↓编辑：陆沈毓上观号作者：上海教育2025年上海市中等职业学校自主招收随迁子女。</t>
  </si>
  <si>
    <t>2025-07-13 20:00:00</t>
  </si>
  <si>
    <t>2025年上海市中等职业学校自主招收随迁子女五年一贯制和中高职贯通各专业最低录取分数线公布，详见↓。</t>
  </si>
  <si>
    <t>最高677分！2025年中考中职校自主招生录取各专业最低分数线公布</t>
  </si>
  <si>
    <t>2025-07-13 19:00:00</t>
  </si>
  <si>
    <t>，上海市教育考试院公布了2025年中考中职校自主招生录取各专业最低分数线，，并开通中职校自主招生录取结果查询；同时公布中职校招收随迁子女录取各专业，截至今年，上海共设立了210个中高职贯通专业点，80个中本贯通专业点和75个五年一贯制专业点，今年，本市新增了29个中高职贯通、6个中本贯通和7个五年一贯制专业点，其中，上海商业会计学校—上海电力大学联合创设中本贯通商会信安专业最低录取分数线为677</t>
  </si>
  <si>
    <t>2025-07-13 16:35:00</t>
  </si>
  <si>
    <t>来源：上海市教育考试院2025年上海市中等职业学校自主招收随迁子女五年一贯制和中高职贯通各专业最低录取分数线公布，详见↓打开APP，查看更多精彩图片编辑：陆沈毓2025年上海市中等职业学校自主招收随迁子女。</t>
  </si>
  <si>
    <t>最高677分！2025年上海中考中本贯通、五年一贯制和中高职贯通各专业最低录取分数线公布（附录取查询通道）</t>
  </si>
  <si>
    <t>2025-07-13 16:00:00</t>
  </si>
  <si>
    <t>，上海市教育考试院公布了2025年中考中职校自主招生录取各专业最低分数线，，并开通中职校自主招生录取结果查询；同时公布中职校招收随迁子女录取各专业，末位同分时，则采用末位同分同投进行投档录取，录取顺序依次为中本贯通录取、五年一贯制和中高职贯通录取、中职校提前招生录取，录取中本贯通的学生，其学业考试总成绩须达到本市公办普通高中最低投档控制分数线，；录取五年一贯制和中高职贯通的学生，其学业考试总成绩</t>
  </si>
  <si>
    <t>最高677分！上海中考中本贯通、五年一贯制和中高职贯通最低控分线公布</t>
  </si>
  <si>
    <t>2025-07-13 15:53:00</t>
  </si>
  <si>
    <t>2025-07-13 15:52:06</t>
  </si>
  <si>
    <t>2025沪中本贯通、五年一贯制和中高职贯通各专业最低录取分数线公布</t>
  </si>
  <si>
    <t>2025-07-13 15:25:00</t>
  </si>
  <si>
    <t>今日，市教育考试院公布了2025中本贯通、五年一贯制和中高职贯通各专业录取最低分数线，随迁子女五年一贯制和中高职贯通各专业最低录取分数线等，2025年上海市中等职业学校自主招生中本贯通、五年一贯制和中高职贯通各专业最低录取分数线公布，详见↓，沪2025年中职校自主招收随迁子女征求志愿即将开始，学生可登录市教育考试院“上海招考热线”网站，上述批次未被录取且愿意征求志愿的随迁子女学生，可于7月14日</t>
  </si>
  <si>
    <t>2025-07-13 14:51:41</t>
  </si>
  <si>
    <t>今日，市教育考试院公布了2025中本贯通、五年一贯制和中高职贯通各专业录取最低分数线，随迁子女五年一贯制和中高职贯通各专业最低录取分数线等，扫描下面二维码查询录取结果2025年上海市中等职业学校自主招生中本贯通、五年一贯制和中高职贯通各专业最低录取分数线公布，详见↓2025年上海市中等职业学校自主招收随迁子女五年一贯制和中高职贯通各专业最低录取分数线公布，详见↓沪2025年中职校自主招收随迁子女</t>
  </si>
  <si>
    <t>上海公布：2025年中职校自主招生中本贯通、五年一贯制和中高职贯通各专业最低录取分数线</t>
  </si>
  <si>
    <t>2025-07-13 14:33:57</t>
  </si>
  <si>
    <t>2025年上海市中等职业学校自主招生中本贯通、五年一贯制和中高职贯通各专业最低录取分数线公布，详见↓本文来源：上海市教育考试院微信编辑：泰妮序，二、各招生学校五年一贯制各专业最低录取分数线。</t>
  </si>
  <si>
    <t>2025年上海市中等职业学校自主招生中本贯通、五年一贯制和中高职贯通各专业最低录取分数线公布，详见↓本文来源：上海市教育考试院微信编辑：泰妮◢，猜你喜欢↓↓中纪委刚刚通报：开除党籍！中国证监会原法律部副主任吴国舫被“双开”，长期借用他人账户违规买卖股票中国证监会原发行监管部副主任李筱强被开除党籍震惊！20岁男孩被父母送出国，染上5种毒瘾！上海法院审理贩毒案：本案买毒吸毒群体中，一半有留学背景首条</t>
  </si>
  <si>
    <t>上海电子信息职业技术学院等申请基于多候选暂存与自学习优化的车-人渐进式绑定方法专利，有效解决复杂出入场景中非机动车辆、机动车与真实用户的高精度匹配难题</t>
  </si>
  <si>
    <t>2025-07-12 16:00:28</t>
  </si>
  <si>
    <t>7月12日消息，国家知识产权局信息显示，上海电子信息职业技术学院;上海凯算科技有限公司申请一项名为“基于多候选暂存与自学习优化的车-人渐进式绑定方法”的专利，公开号CN120299123A，申请日期为2025年03月，专利摘要显示，本发明涉及一种基于多候选暂存与自学习优化的车‑人渐进式绑定方法，针对现有门禁系统在多用户并发场景中存在的车牌‑车主绑定准确性不足、设备改造成本高等痛点，创新性地提出了</t>
  </si>
  <si>
    <t>2025-07-12 15:53:17</t>
  </si>
  <si>
    <t>2025-07-12 15:40:39</t>
  </si>
  <si>
    <t>2025-07-12 15:40:00</t>
  </si>
  <si>
    <t>第十四届江苏高考名校见面会（专科批次）7月13日上午在南京国际展览中心D厅举行</t>
  </si>
  <si>
    <t>2025-07-10 18:16:00</t>
  </si>
  <si>
    <t>为帮助广大考生及家长全面了解高校招生政策，科学填报志愿，江苏省2025年第十四届江苏高考名校见面会专科批次将于7月13日，8:30-12:00在南京国际展览中心D厅，本次咨询会活动全程公益免费，面向全省考生及家长开放，助力学子科学规划升学路径，江苏海事职业技术学院、江苏经贸职业技术学院、南京信息职业技术学院、江苏卫生健康职业学院、南京交通职业技术学院、南京科技职业学院、南京机电职业技术学院、南京</t>
  </si>
  <si>
    <t>2025-07-10 18:14:33</t>
  </si>
  <si>
    <t>新华日报财经</t>
  </si>
  <si>
    <t>为帮助广大考生及家长全面了解高校招生政策，科学填报志愿，，江苏省2025年第十四届江苏高考名校见面会专科批次，8:30-12:00在南京国际展览中心D厅，，面向全省考生及家长开放，助力学子科学规划升学路径，江苏海事职业技术学院、江苏经贸职业技术学院、南京信息职业技术学院、江苏卫生健康职业学院、南京交通职业技术学院、南京科技职业学院、南京机电职业技术学院、南京旅游职业学院、扬州工业职业技术学院、江</t>
  </si>
  <si>
    <t>2025-07-10 18:13:41</t>
  </si>
  <si>
    <t>赵文婷</t>
  </si>
  <si>
    <t>为帮助广大考生及家长全面了解高校招生政策，科学填报志愿，江苏省2025年第十四届江苏高考名校见面会专科批次将于7月13日，8:30-12:00在南京国际展览中心D厅，本次咨询会活动全程公益免费，面向全省考生及家长开放，助力学子科学规划升学路径，部分参展高校名单江苏海事职业技术学院、江苏经贸职业技术学院、南京信息职业技术学院、江苏卫生健康职业学院、南京交通职业技术学院、南京科技职业学院、南京机电职</t>
  </si>
  <si>
    <t>2025毕业季⑦ | 愿有前程可奔赴，亦有岁月可回首</t>
  </si>
  <si>
    <t>2025-07-09 12:33:00</t>
  </si>
  <si>
    <t>色社会主义思想为指导为实现中华民族伟大复兴的中国梦而努力奋斗。</t>
  </si>
  <si>
    <t>2025-07-09 10:41:00</t>
  </si>
  <si>
    <t>转载请注明上海市教委政务微信“上海教育”时光匆匆大学时光终将落幕在这特别时光与相伴多年的同学与和蔼可亲的老师好好地说一声再见合影留念愿相片承载着大学回忆陪伴开启下一段旅程愿有前程可奔赴亦有岁月可回首……复旦大学打开APP，查看更多精彩图片上海交通大学同济大学华东师范大学华东理工大学东华大学上海音乐学院上海海洋大学上海师范大学上海第二工业大学上海立信会计金融学院上海交通大学医学院复旦大学上海医学院</t>
  </si>
  <si>
    <t>金山这里教你“直播带货”</t>
  </si>
  <si>
    <t>2025-07-08 17:07:00</t>
  </si>
  <si>
    <t>在数字经济浪潮奔涌的当下，直播电商行业以其蓬勃的发展态势，展现出强大的“人才孵化”力量，小李回忆道一开始，面对镜头我很紧张，语言表达不够流畅自然，难以在短时间内抓住观众注意力。小李回忆道为帮助她尽快成长，企业安排的资深主播导师通过模拟直播演练，让她在一次次练习中逐步克服镜头恐惧，提升临场应变能力，金山敏锐捕捉发展契机，以“自家人”直播实训基地为“苗圃”，架起产教融合的坚实桥梁，开启数字产业人才孵</t>
  </si>
  <si>
    <t>2025-07-08 10:30:00</t>
  </si>
  <si>
    <t>2025-07-08 08:46:57</t>
  </si>
  <si>
    <t>2025-07-08 08:40:00</t>
  </si>
  <si>
    <t>上海市徐汇区：从迷彩绿到志愿红，这支沪上高校退役大学生队伍戎光闪耀</t>
  </si>
  <si>
    <t>2025-07-08 00:23:31</t>
  </si>
  <si>
    <t>7月1日，在党的104岁生日到来之际，第五届“闪耀的星，最美的你”上海市大学生士兵风采展示终评答辩活动在上海教育报刊总社举行，本次活动由上海市教育委员会、上海市人民政府征兵办公室、上海市退役军人事务局主办，上海教育报刊总社承办，旨在展现退役大学生士兵的卓越风采，传承红色基因，发挥榜样引领作用，所高校通过校内宣讲、初评层层遴选，最终征集退伍大学生材料，在众多参选对象中，经严格评审，“沪上戎光”，上</t>
  </si>
  <si>
    <t>2025-07-08 00:15:00</t>
  </si>
  <si>
    <t>手机中国网</t>
  </si>
  <si>
    <t>2025-07-08 00:09:40</t>
  </si>
  <si>
    <t>7月1日，在党的104岁生日到来之际，第五届“闪耀的星，最美的你”上海市大学生士兵风采展示终评答辩活动在上海教育报刊总社举行，本次活动由上海市教育委员会、上海市人民政府征兵办公室、上海市退役军人事务局主办，上海教育报刊总社承办，旨在展现退役大学生士兵的卓越风采，传承红色基因，发挥榜样引领作用此次活动自，所高校通过校内宣讲、初评层层遴选，最终征集退伍大学生材料，在众多参选对象中，经严格评审，“沪上</t>
  </si>
  <si>
    <t>徐汇 | 从迷彩绿到志愿红，这支沪上高校退役大学生士兵队伍戎光闪耀</t>
  </si>
  <si>
    <t>2025-07-07 21:33:51</t>
  </si>
  <si>
    <t>最美的你”上海市大学生士兵风采展示终评答辩活动在上海教育报刊总社举行，本次活动由上海市教育委员会、上海市人民政府征兵办公室、上海市退役军人事务局主办，上海教育报刊总社承办，旨在展现退役大学生士兵的卓越风采，传承红色基因，发挥榜样引领作用，所高校通过校内宣讲、初评层层遴选，最终征集退役大学生士兵材料，在众多参选对象中，经严格评审，“沪上戎光”，上海市高校退役大学生联盟志愿服务队脱颖而出，荣获“风采</t>
  </si>
  <si>
    <t>2025-07-07 21:24:00</t>
  </si>
  <si>
    <t>【直通区情】打造“数字苗圃”,以产教融合孵化新职业人才</t>
  </si>
  <si>
    <t>2025-07-03 15:08:54</t>
  </si>
  <si>
    <t>胡可昀</t>
  </si>
  <si>
    <t>直播电商作为新兴商业模式，具有“人才孵化”的蓬勃力量：一个直播间就能衍生出数据分析师、视频剪辑师、成本核价师等30多个新职业，以快手为代表的短视频直播生态更是孕育和催生了174个新职业，企业导师透露我们把课程中所有的概念简化，并且将后台操作和前端示例结合起来，学生只要平时刷过短视频，都能看懂并理解。企业导师透露这种实训课程让从未接触过新媒体的学生也能在短时间内快速上手，在这片数字经济的蓝海之中，</t>
  </si>
  <si>
    <t>关于2025年上海市全民数字素养与技能提升月主题活动优秀作品名单的公示</t>
  </si>
  <si>
    <t>2025-07-02 21:40:00</t>
  </si>
  <si>
    <t>新浪网</t>
  </si>
  <si>
    <t>商业媒体,金融</t>
  </si>
  <si>
    <t>为深入实施《提升全民数字素养与技能行动纲要》，促进全民共建共享数字化发展成果，提升全民数字化适应力、胜任力、创造力，2025年上海市全民数字素养与技能提升月开展了第三届上海中小学生数字素养与技能提升科普漫画作品征集活动、2025年上海大学生AIGC微视频创想活动、第三届“老友数申活”上海老年人短视频征集活动等系列主题活动，活动自开展以来，得到广大市民的热情参与，分别征集到中小学生科普漫画作品37</t>
  </si>
  <si>
    <t>1367名青年人才同台竞技 上海市第二届职业技能大赛圆满落幕</t>
  </si>
  <si>
    <t>2025-06-30 15:38:00</t>
  </si>
  <si>
    <t>中国发展网</t>
  </si>
  <si>
    <t>6月24日，上海市第二届职业技能大赛在青浦区东方绿舟举行闭幕式，作为上海规格最高、规模最大、项目最多的综合性职业技能竞赛，本届大赛共吸引全市16个代表队的1367名参赛选手同台竞技，经过近三个月的激烈比拼，各赛项金银铜牌及优胜奖揭晓，其中，114名选手获得金牌、114名选手获得银牌、95名选手获得铜牌，嘉定区、浦东新区、杨浦区代表队分获团体金、银、铜奖，本届大赛在技术标准、赛项设置、组织模式等方</t>
  </si>
  <si>
    <t>上海共81所！教育部发布全国高等学校名单（截至2025年6月20日）</t>
  </si>
  <si>
    <t>2025-06-28 16:02:00</t>
  </si>
  <si>
    <t>其中：上海共有普通高等学校69所，其中本科40所、专科29所；成人高等学校12所，名单可点击文末“阅读原文”下载查看，本名单未包含港澳台地区高等学校。</t>
  </si>
  <si>
    <t>2025-06-28 15:01:00</t>
  </si>
  <si>
    <t>虚拟蝴蝶、空中摄影、旗袍走秀：新成路街道上演“科技秀野记”</t>
  </si>
  <si>
    <t>2025-06-28 14:17:13</t>
  </si>
  <si>
    <t>当无人机翱翔天空捕捉美景，当虚拟蝴蝶“停落”现实牌匾，当优雅旗袍舞遇见童趣国风秀……一场数字与文化的交融盛宴正在新成路街道上演，长者数字工坊成员陈先生说大家都很有实力，这样互相交流也促进了我继续学习的动力。摄影还是要看构图看技术，看观察周围、捕捉画面的能力，相机无人机这些只是工具，我要学的还多呢。体验者徐女士说没想到MR技术这么有意思！虽然都是虚拟的数字模型，但看到它们融入现实环境的时候还是很震</t>
  </si>
  <si>
    <t>2025-06-28 14:12:00</t>
  </si>
  <si>
    <t>2025-06-28 14:07:43</t>
  </si>
  <si>
    <t>教师博雅</t>
  </si>
  <si>
    <t>其中：上海共有普通高等学校69所，其中本科40所、专科29所；成人高等学校12所，名单可点击文末“阅读原文”下载查看，本名单未包含港澳台地区高等学校，具体名单和小编一起看↓上海市普通高等学校名单，来源：上海市教委政务微信“上海教育”编辑：马天恩点击“阅读原文”查看全名单学校名称。</t>
  </si>
  <si>
    <t>2025-06-28 10:32:04</t>
  </si>
  <si>
    <t>丁梦婕</t>
  </si>
  <si>
    <t>2025-06-27 18:32:00</t>
  </si>
  <si>
    <t>2025-06-27 17:22:00</t>
  </si>
  <si>
    <t>转载请注明上海市教委政务微信“上海教育”上海市普通高等学校名单。</t>
  </si>
  <si>
    <t>1367名青年人才同台竞技上海市第二届职业技能大赛圆满落幕</t>
  </si>
  <si>
    <t>2025-06-26 14:26:21</t>
  </si>
  <si>
    <t>UC头条</t>
  </si>
  <si>
    <t>潇湘晨报视频</t>
  </si>
  <si>
    <t>2025-06-26 14:26:00</t>
  </si>
  <si>
    <t>首届“东方美谷·西沐专场”全国大学生化妆品外观设计大赛启幕，共探东方美学新境</t>
  </si>
  <si>
    <t>2025-06-26 14:05:18</t>
  </si>
  <si>
    <t>环球周刊网</t>
  </si>
  <si>
    <t>近日，为弘扬东方美学文化，激发青年设计创新活力，推动化妆品产业与传统文化深度融合，赋能美丽健康产业升级，助力“奉贤美、奉贤强”战略深化实施，东方美谷企业集团股份有限公司与中央美术学院，艺术与设计管理学院、上海电子信息职业技术学院、上海市奉贤区知识产权快速维权中心、西沐臻品，生物科技发展有限公司联合举办首届“东方美谷”全国大学生化妆品外观设计大赛，由上海市知识产权局、上海市奉贤区市场监督管理局，、</t>
  </si>
  <si>
    <t>2025-06-26 12:51:00</t>
  </si>
  <si>
    <t>2025-06-25 18:06:37</t>
  </si>
  <si>
    <t>东方好声音</t>
  </si>
  <si>
    <t>1367名选手参赛决出114枚金牌</t>
  </si>
  <si>
    <t>2025-06-25 15:35:52</t>
  </si>
  <si>
    <t>6月24日，上海市第二届职业技能大赛在东方绿舟闭幕，本届大赛历时近3个月，吸引了全市16个代表队1367名选手同台竞技，上海市职业技能大赛是本市规格最高、规模最大、项目最多的综合性职业技能竞赛，经过近3个月的比拼，114名选手获得金牌、114名选手获得银牌、95名选手获得铜牌，嘉定区、浦东新区、杨浦区代表队分获团体金、银、铜奖，本届大赛赛项设置紧密结合上海经济社会发展和产业转型升级需求，，结合本</t>
  </si>
  <si>
    <t>2025-06-25 15:33:53</t>
  </si>
  <si>
    <t>2025-06-25 15:12:30</t>
  </si>
  <si>
    <t>2025-06-25 15:02:36</t>
  </si>
  <si>
    <t>上海市第二届职业技能大赛落幕1367名选手参赛决出114枚金牌</t>
  </si>
  <si>
    <t>2025-06-25 14:50:37</t>
  </si>
  <si>
    <t>鲁哲</t>
  </si>
  <si>
    <t>上海市第二届职业技能大赛落幕，决出114枚金牌！</t>
  </si>
  <si>
    <t>2025-06-25 14:35:46</t>
  </si>
  <si>
    <t>6月24日，上海市第二届职业技能大赛在东方绿舟闭幕，本届大赛历时近3个月，吸引了全市16支代表队1367名选手同台竞技，上海市职业技能大赛是上海市规格最高、规模最大、项目最多的综合性职业技能竞赛，经过近3个月的比拼，114名选手获得金牌、114名选手获得银牌、95名选手获得铜牌，嘉定区、浦东新区、杨浦区代表队分获团体金、银、铜奖，本届大赛赛项设置紧密结合上海经济社会发展和产业转型升级需求，，紧跟</t>
  </si>
  <si>
    <t>上海市第二届职业技能大赛落幕,决出114枚金牌!</t>
  </si>
  <si>
    <t>【城市节拍】上海市第二届职业技能大赛落幕,决出114枚金牌!</t>
  </si>
  <si>
    <t>2025-06-25 13:21:42</t>
  </si>
  <si>
    <t>6月24日，上海市第二届职业技能大赛在东方绿舟闭幕，你们用双手诠释着“技可进乎道艺可通乎神的深刻 内酒：你们是创新的弄湖儿，你们将创意与技术深度融合， 用前赠性的眼光和扎实的专业力，让不可能成为可能，本届大赛历时近3个月，吸引了全市16个代表队1367名选手同台竞技，上海市职业技能大赛是本市规格最高、规模最大、项目最多的综合性职业技能竞赛，经过近3个月的比拼，114名选手获得获得金牌、114名选</t>
  </si>
  <si>
    <t>上海职业技能最高舞台又一年：“新质”赛项与选手“传承”</t>
  </si>
  <si>
    <t>2025-06-25 12:14:29</t>
  </si>
  <si>
    <t>6月24日，上海市第二届职业技能大赛迎来闭幕，上海电子信息职业技术学院教师邓海平表示行业职工擅长的技能方向性比较单一，综合能力有所逊色，学校老师则综合性更强，他告诉记者目前社会上在LED显示屏相关的后端产业人才需求很大，这些技能人才往往有不错的就业机会，闵思达坦言相较于女选手，自己在表情交流和肢体语言方面还要下更多功夫，接下来会在临床实践中着重提升，来自东航技术应用研发中心有限公司的她说从竞技者</t>
  </si>
  <si>
    <t>2025-06-25 12:14:28</t>
  </si>
  <si>
    <t>2025-06-25 12:13:26</t>
  </si>
  <si>
    <t>2025-06-25 12:12:00</t>
  </si>
  <si>
    <t>2025-06-25 12:11:56</t>
  </si>
  <si>
    <t>澎湃新闻 2022</t>
  </si>
  <si>
    <t>上海职业技能最高舞台又一年: “新质”赛项与选手“传承”</t>
  </si>
  <si>
    <t>2025-06-25 12:11:00</t>
  </si>
  <si>
    <t>澎湃</t>
  </si>
  <si>
    <t>2025-06-25 10:56:08</t>
  </si>
  <si>
    <t>6月24日，上海市第二届职业技能大赛在东方绿舟闭幕，本届大赛历时近3个月，吸引了全市16个代表队1367名选手同台竞技，上海市职业技能大赛是本市规格最高、规模最大、项目最多的综合性职业技能竞赛，经过近3个月的比拼，114名选手获得获得金牌、114名选手获得银牌、95名选手获得铜牌，嘉定区、浦东新区、杨浦区代表队分获团体金、银、铜奖，本届大赛赛项设置紧密结合上海经济社会发展和产业转型升级需求，，结</t>
  </si>
  <si>
    <t>2025-06-25 10:36:37</t>
  </si>
  <si>
    <t>2025-06-25 10:32:19</t>
  </si>
  <si>
    <t>2025-06-25 10:31:07</t>
  </si>
  <si>
    <t>2025-06-25 10:28:06</t>
  </si>
  <si>
    <t>2025-06-25 10:27:06</t>
  </si>
  <si>
    <t>新民晚报 鲁哲</t>
  </si>
  <si>
    <t>2025-06-25 10:27:00</t>
  </si>
  <si>
    <t>6月24日，上海市第二届职业技能大赛在东方绿舟闭幕，你们用双手诠释着“技可进乎道艺可通乎神的深刻 内：你们是创新的弄湖儿，你们将创意与技术深度融合， 用前前性的眼光和扎实的专业力，让不可能成为可能，本届大赛历时近3个月，吸引了全市16个代表队1367名选手同台竞技，上海市职业技能大赛是本市规格最高、规模最大、项目最多的综合性职业技能竞赛，经过近3个月的比拼，114名选手获得获得金牌、114名选手</t>
  </si>
  <si>
    <t>6月24日，上海市第二届职业技能大赛在东方绿舟闭幕，你们用双手诠释着“技可进乎道艺可通乎神的深刻 内酒：你们是创新的弄湖儿，你们将创意与技术深度融合， 用前前性的眼光和扎实的专业力，让不可能成为可能，本届大赛历时近3个月，吸引了全市16个代表队1367名选手同台竞技，上海市职业技能大赛是本市规格最高、规模最大、项目最多的综合性职业技能竞赛，经过近3个月的比拼，114名选手获得获得金牌、114名选</t>
  </si>
  <si>
    <t>第十三届陕西教博会将于6月26至28日在西安举办</t>
  </si>
  <si>
    <t>2025-06-25 09:10:09</t>
  </si>
  <si>
    <t>6月27日12时，填报本科提前批次和职教单招本科志愿；6月25日12时至6月30日12时，填报本科批次志愿，据组委会有关负责人介绍，本届教博会将在西安国际会展中心1馆、2馆举办，围绕“AI赋能教育发展，推动教育强省建设”为主题，将组织“四展示两活动”，即教育博览会主题展、高校“大思政课”建设成果展、高校科技成果展、研究生创新成果展、校企对接洽谈活动、高等学校招生咨询活动，此外，组委会还开展直播访</t>
  </si>
  <si>
    <t>2025-06-25 09:08:00</t>
  </si>
  <si>
    <t>2025-06-25 09:07:00</t>
  </si>
  <si>
    <t>【参展学校全公开】第十三届陕西教育博览会，6月26日 西安国际会展中心 盛大启幕！</t>
  </si>
  <si>
    <t>2025-06-24 20:49:15</t>
  </si>
  <si>
    <t>华商报</t>
  </si>
  <si>
    <t>第十三届陕西教育博览会即将盛大启幕！在2025年新高考改革全面落地的关键节点，由陕西省教育厅主办的第十三届陕西教育博览会将于6月26日至28日在西安国际会展中心隆重举行，现场将有近300所省内外高校招办老师坐镇，为广大考生和家长提供“政策解读-院校匹配-生涯规划”的全链条服务，本届博览会将启用西安国际会展中心1馆、2馆，以“AI赋能教育发展，推动教育强省建设”为主题，继续组织开展“四展示两活动”</t>
  </si>
  <si>
    <t>2025-06-24 20:49:00</t>
  </si>
  <si>
    <t>华商网</t>
  </si>
  <si>
    <t>2025年“科学家故事舞台剧推广行动”第二批剧目公示名单</t>
  </si>
  <si>
    <t>2025-06-24 16:33:45</t>
  </si>
  <si>
    <t>中国科学技术协会</t>
  </si>
  <si>
    <t>中国文联关于2025年“科学大师宣传工程”工作安排的通知》要求，中国科协组织实施“科学家故事舞台剧推广行动”，资助高校以“师生演校友、学弟演学长”的方式，组织师生创排以著名科学家、杰出科技工作者为主题的舞台剧，经申报推荐和专家评审，现公示2025年“科学家故事舞台剧推广行动”第二批剧目名单，公示期5天，公示结束后，由中国科协青少年科技中心立项资助，联系方式：任伟宏，010-68516715，1《</t>
  </si>
  <si>
    <t>看名单！这些研究项目拟立项</t>
  </si>
  <si>
    <t>2025-06-24 10:32:00</t>
  </si>
  <si>
    <t>7月3日，将2025年度上海市教育科学研究项目“上海高校哲学社会科学研究专项”拟立项名单进行网上公示，如您对本公示持有异议，可在2025年7月3日17:00之前向上海市教卫工作党委哲学社会科学办公室书面提出，如以个人名义提出意见的，必须签署本人真实姓名；如以单位名义提出意见的，必须签署单位名称并加盖公章，上观号作者：教师博雅高校马克思主义学院和思想政治理论课建设研究。</t>
  </si>
  <si>
    <t>2025-06-24 09:59:51</t>
  </si>
  <si>
    <t>7月3日，将2025年度上海市教育科学研究项目“上海高校哲学社会科学研究专项”拟立项名单进行网上公示，如以个人名义提出意见的，必须签署本人真实姓名；如以单位名义提出意见的，必须签署单位名称并加盖公章，联系地址：茶陵北路21号2号楼313室；邮编：200032；电话：64167616，来源：上海市教委制图：陈佟编辑：马晓敏高校马克思主义学院和思想政治理论课建设研究。</t>
  </si>
  <si>
    <t>定了！全国高校安徽招生咨询会等你来</t>
  </si>
  <si>
    <t>2025-06-23 09:38:12</t>
  </si>
  <si>
    <t>合肥晚报</t>
  </si>
  <si>
    <t>6月30日，我省将举办“2025年安徽省第二届高校招生咨询会公益活动”，，届时，将在合肥市、巢湖市、马鞍山市、芜湖市、铜陵市、宣城市六个城市巡回举办，为考生提供全方位的报考指导，往届资料本届高招会将有全国在安徽省招生的“双一流”建设高校、省内外本科及专科院校，涵盖各类型、各层次院校，满足不同考生的咨询需求！往届资料面对面“零距离”接触，深入了解最新的招生政策、专业设置和志愿填报策略，在这里，你将</t>
  </si>
  <si>
    <t>校园活动、招生季、节气节日……上海高校官方微信2025年5月热文盘点</t>
  </si>
  <si>
    <t>2025-06-22 18:02:00</t>
  </si>
  <si>
    <t>转载请注明上海市教委政务微信“上海教育”5月，深入贯彻中央八项规定精神学习教育继续在各高校有条不紊开展，“立夏”“小满”来临，绿荫铺野，夏风昼长，上海高校官微文章在初夏的氛围中日渐火热，一方面在“五一劳动节”“五四青年节”来临之际昂扬青春，另一方面在高考倒计时、招生宣传、毕业季中忙不停歇，总体情况日均发布67.32篇，篇均阅读4391.94次上海高校官方微信2025年5月总体表现情况热点话题初夏</t>
  </si>
  <si>
    <t>奉贤区精神卫生中心深化医教结合 赋能青少年心理健康服务体系建设</t>
  </si>
  <si>
    <t>2025-06-21 04:07:00</t>
  </si>
  <si>
    <t>模式推动区域心理健康服务体系升级，精准对接高校学生及儿童青少年群体需求，揭牌表示祝贺奉贤片区高校医教结合项目，揭牌表示祝贺孙锦华团队专家工作站，上海市学校德育发展研究院副院长、上海学生心理健康教育发展中心主任刘明波，复旦大学附属儿科医院副院长翟晓文应邀出席；区卫生健康工作党委书记张英，区卫生健康工作党委委员、区卫生健康委副主任周界奇出席活动；复旦大学附属儿科医院精神心理科主任孙锦华，复旦大学附属</t>
  </si>
  <si>
    <t>报告：电子科学与技术、信息安全等专业薪酬高</t>
  </si>
  <si>
    <t>2025-06-20 18:30:12</t>
  </si>
  <si>
    <t>据“智联研究院”微信号20日消息，智联招聘发布《2025年大学生就业前景研判及高考志愿填报攻略》，报告还指出在榜单中可以看到，软件工程 两大专业的排名连年下降，计算机科学与技术首次跌出前10，智联招聘发布《2025年大学生就业前景研判及高考志愿填报攻略》(下称报告)，其中显示，电子科学与技术、信息安全专业薪酬高，具体来看，报告提到，对于家长和考生来说，毕业后的薪资是志愿填报的重要考量因素，智联招</t>
  </si>
  <si>
    <t>2025-06-20 18:01:08</t>
  </si>
  <si>
    <t>中新经纬</t>
  </si>
  <si>
    <t>据“智联研究院”微信号20日消息，智联招聘发布《2025年大学生就业前景研判及高考志愿填报攻略》，报告还指出在榜单中可以看到，软件工程 两大专业的排名连年下降，计算机科学与技术首次跌出前10，智联招聘发布《2025年大学生就业前景研判及高考志愿填报攻略》(下称报告)，其中显示，电子科学与技术、信息安全专业薪酬高，　　具体来看，报告提到，对于家长和考生来说，毕业后的薪资是志愿填报的重要考量因素，智</t>
  </si>
  <si>
    <t>2025-06-20 18:00:42</t>
  </si>
  <si>
    <t>据“智联研究院”号20日消息，智联招聘发布《2025年大学生就业前景研判及高考志愿填报攻略》，报告还指出在榜单中可以看到，软件工程 两大专业的排名连年下降，计算机科学与技术首次跌出前10，智联招聘发布《2025年大学生就业前景研判及高考志愿填报攻略》(下称报告)，其中显示，电子科学与技术、信息安全专业薪酬高，　　具体来看，报告提到，对于家长和考生来说，毕业后的薪资是志愿填报的重要考量因素，智联招</t>
  </si>
  <si>
    <t>2025-06-20 17:59:44</t>
  </si>
  <si>
    <t>2025-06-20 17:37:06</t>
  </si>
  <si>
    <t>2025-06-20 17:37:00</t>
  </si>
  <si>
    <t>青春防线集结号→奉贤区禁毒、反邪教宣传进高校联盟启航！</t>
  </si>
  <si>
    <t>2025-06-20 13:27:00</t>
  </si>
  <si>
    <t>6月19日下午，由区委政法委联合区公安分局举办的奉贤区禁毒和反邪教宣传进高校联盟正式上线，这波操作简直是给高校同学们的青春上了一把“安全锁”，市委政法委副书记丁伯婕、市禁毒办主任周国庆，奉贤区委常委、政法委书记陈学哲以及在奉各高校分管领导出席活动，共同见证这一超能时刻，高能现场节目表演啦啦操《我们都是追梦人》、禁毒相声《校园“药”不得》、反邪教情景剧《迷途知返》、禁毒反邪教倡议朗诵、禁毒歌曲《愿</t>
  </si>
  <si>
    <t>2025-06-19 22:32:00</t>
  </si>
  <si>
    <t>6月19日下午，由区委政法委联合区公安分局举办的奉贤区禁毒和反邪教宣传进高校联盟正式上线，这波操作简直是给高校同学们的青春上了一把，市委政法委副书记丁伯婕、市禁毒办主任周国庆，奉贤区委常委、政法委书记陈学哲以及在奉各高校分管领导出席活动，共同见证这一超能时刻，啦啦操《我们都是追梦人》、禁毒相声《校园“药”不得》、反邪教情景剧《迷途知返》、禁毒反邪教倡议朗诵、禁毒歌曲《愿》等原创文艺节目轮番上演，</t>
  </si>
  <si>
    <t>数智赋能、精准匹配,为职校生就业“出新招”</t>
  </si>
  <si>
    <t>2025-06-19 11:06:24</t>
  </si>
  <si>
    <t>通过AI模拟面试提升应变能力，用智能设备完善求职材料、一键投递简历……在山东济南职业学院的“大学生就业创业赋能中心”内，刷脸求职一体机、AI面试训练亭等14个功能区成为毕业生求职的得力助手，武昌职业学院招生就业指导处有关负责人对记者表示今年该校探索运用新技术辅助学生学习和就业，指导帮助每位学生打造属于自己的AI求职数字人，云南林业职业技术学院就业创业指导与服务中心主任邹铠同告诉记者为提升就业质量</t>
  </si>
  <si>
    <t>【丽教动态】6月22日上午，2025年高校志愿填报现场咨询会（丽水场）来了！考生和家长们别错过了</t>
  </si>
  <si>
    <t>2025-06-18 19:06:00</t>
  </si>
  <si>
    <t>丽水市教育局</t>
  </si>
  <si>
    <t>高考志愿填报是考生和家长关心的头等大事，80个志愿怎么填，相信还是有很多考生和家长心有困惑！为方便考生及家长全面掌握高校招生录取政策，更好地服务广大考生及家长，浙江省教育宣传中心联合丽水市教育招生考试中心、丽水学院共同举办2025年高校志愿填报现场咨询会，届时欢迎广大考生和家长前来与招办老师进行面对面交流！01时，间6月22日上午08:30-11:3002地，点丽水市莲都区学院路103与会高校省</t>
  </si>
  <si>
    <t>数智赋能、精准匹配，为职校生就业“出新招”</t>
  </si>
  <si>
    <t>2025-06-18 17:29:00</t>
  </si>
  <si>
    <t>　　AI模拟面试提升应变能力，用智能设备完善求职材料，用职业体验设备沉浸式感知工作环境　　职教实践进行时数智赋能、精准匹配，为职校生就业“出新招”　　阅读提示　　今年的职校生求职有了一些新变化——有的学校鼓励学生利用AI技术全方位展现自己，有的学校在相关部门支持下，通过与政、企多方对接，为学生提供更多的实习和就业机会，武昌职业学院招生就业指导处有关负责人对记者表示今年该校探索运用新技术辅助学生学</t>
  </si>
  <si>
    <t>职教实践进行时｜数智赋能、精准匹配，为职校生就业“出新招”</t>
  </si>
  <si>
    <t>2025-06-18 16:28:01</t>
  </si>
  <si>
    <t>中华经济发展网</t>
  </si>
  <si>
    <t>陶稳阅读提示今年的职校生求职有了一些新变化——有的学校鼓励学生利用AI技术全方位展现自己，有的学校在相关部门支持下，通过与政、企多方对接，为学生提供更多的实习和就业机会，武昌职业学院招生就业指导处有关负责人对记者表示今年该校探索运用新技术辅助学生学习和就业，指导帮助每位学生打造属于自己的AI求职数字人，云南林业职业技术学院就业创业指导与服务中心主任邹铠同告诉记者为提升就业质量，学校加强与企业的合</t>
  </si>
  <si>
    <t>2025-06-18 16:28:00</t>
  </si>
  <si>
    <t>科技世界网</t>
  </si>
  <si>
    <t>关于公布2025年上海市科学实验展演汇演决赛获奖名单的通知</t>
  </si>
  <si>
    <t>2025-06-18 15:57:24</t>
  </si>
  <si>
    <t>　　在各有关单位的大力支持下，2025年上海市科学实验展演汇演决赛圆满结束，共产生一等奖2组，二等奖8组，三等奖10组，优秀奖16组，陈卓妍、赵子彤、孙靖涵、李博涛、张添骐、梁克靖、许少伦，余欣、陈梦柯、周嘉乐、谢鑫婉、余思淇、王海超，冯蕾、刘玉敏、吴节莉、王瑞斌、汪航、张丹妮。</t>
  </si>
  <si>
    <t>AI模拟面试提升应变能力，用智能设备完善求职材料，用职业体验设备沉浸式感知工作环境【职教实践进行时】数智赋能、精准匹配，为职校生就业“出新招”</t>
  </si>
  <si>
    <t>2025-06-18 09:55:00</t>
  </si>
  <si>
    <t>青年之声</t>
  </si>
  <si>
    <t>　　今年的职校生求职有了一些新变化——有的学校鼓励学生利用AI技术全方位展现自己，有的学校在相关部门支持下，通过与政、企多方对接，为学生提供更多的实习和就业机会，武昌职业学院招生就业指导处有关负责人对记者表示今年该校探索运用新技术辅助学生学习和就业，指导帮助每位学生打造属于自己的AI求职数字人，云南林业职业技术学院就业创业指导与服务中心主任邹铠同告诉记者为提升就业质量，学校加强与企业的合作，通过</t>
  </si>
  <si>
    <t>2025-06-18 09:46:57</t>
  </si>
  <si>
    <t>2025-06-18 09:37:37</t>
  </si>
  <si>
    <t>工人日报</t>
  </si>
  <si>
    <t>本报记者  陶稳</t>
  </si>
  <si>
    <t>阅读提示今年的职校生求职有了一些新变化——有的学校鼓励学生利用AI技术全方位展现自己，有的学校在相关部门支持下，通过与政、企多方对接，为学生提供更多的实习和就业机会，武昌职业学院招生就业指导处有关负责人对记者表示今年该校探索运用新技术辅助学生学习和就业，指导帮助每位学生打造属于自己的AI求职数字人，云南林业职业技术学院就业创业指导与服务中心主任邹铠同告诉记者为提升就业质量，学校加强与企业的合作，</t>
  </si>
  <si>
    <t>2025-06-18 09:37:00</t>
  </si>
  <si>
    <t>今年的职校生求职有了一些新变化——有的学校鼓励学生利用AI技术全方位展现自己，有的学校在相关部门支持下，通过与政、企多方对接，为学生提供更多的实习和就业机会，武昌职业学院招生就业指导处有关负责人对记者表示今年该校探索运用新技术辅助学生学习和就业，指导帮助每位学生打造属于自己的AI求职数字人，云南林业职业技术学院就业创业指导与服务中心主任邹铠同告诉记者为提升就业质量，学校加强与企业的合作，通过访企</t>
  </si>
  <si>
    <t>【职教实践进行时】数智赋能、精准匹配，为职校生就业“出新招”</t>
  </si>
  <si>
    <t>2025-06-18 09:14:45</t>
  </si>
  <si>
    <t>福建网络广播电视台</t>
  </si>
  <si>
    <t>记者  陶稳</t>
  </si>
  <si>
    <t>　　阅读提示　　今年的职校生求职有了一些新变化——有的学校鼓励学生利用AI技术全方位展现自己，有的学校在相关部门支持下，通过与政、企多方对接，为学生提供更多的实习和就业机会，武昌职业学院招生就业指导处有关负责人对记者表示今年该校探索运用新技术辅助学生学习和就业，指导帮助每位学生打造属于自己的AI求职数字人，云南林业职业技术学院就业创业指导与服务中心主任邹铠同告诉记者为提升就业质量，学校加强与企业</t>
  </si>
  <si>
    <t>2025-06-18 08:50:00</t>
  </si>
  <si>
    <t>2025-06-18 08:49:00</t>
  </si>
  <si>
    <t>「职教实践进行时」数智赋能、精准匹配，为职校生就业“出新招”</t>
  </si>
  <si>
    <t>2025-06-18 08:35:06</t>
  </si>
  <si>
    <t>河北长城网</t>
  </si>
  <si>
    <t>来源：工人日报阅读提示今年的职校生求职有了一些新变化——有的学校鼓励学生利用AI技术全方位展现自己，有的学校在相关部门支持下，通过与政、企多方对接，为学生提供更多的实习和就业机会，武昌职业学院招生就业指导处有关负责人对记者表示今年该校探索运用新技术辅助学生学习和就业，指导帮助每位学生打造属于自己的AI求职数字人，云南林业职业技术学院就业创业指导与服务中心主任邹铠同告诉记者为提升就业质量，学校加强</t>
  </si>
  <si>
    <t>2025-06-18 08:35:00</t>
  </si>
  <si>
    <t>封面新闻</t>
  </si>
  <si>
    <t>数智赋能、精准匹配，为职校生就业“出新招”，武昌职业学院招生就业指导处有关负责人对记者表示今年该校探索运用新技术辅助学生学习和就业，指导帮助每位学生打造属于自己的AI求职数字人，云南林业职业技术学院就业创业指导与服务中心主任邹铠同告诉记者为提升就业质量，学校加强与企业的合作，通过访企拓岗、校企合作等方式，为学生提供更多的实习和就业机会，中国教育科学研究院职业与继续教育研究所副研究员王敬杰表示促进</t>
  </si>
  <si>
    <t>数智赋能、精准匹配 为职校生就业“出新招”</t>
  </si>
  <si>
    <t>2025-06-18 08:31:00</t>
  </si>
  <si>
    <t>厦门网</t>
  </si>
  <si>
    <t>2025-06-18 08:28:24</t>
  </si>
  <si>
    <t>海南网络广播电视台</t>
  </si>
  <si>
    <t>2025-06-18 08:25:54</t>
  </si>
  <si>
    <t>视听海南</t>
  </si>
  <si>
    <t>2025-06-18 07:51:00</t>
  </si>
  <si>
    <t>封面</t>
  </si>
  <si>
    <t>2025-06-18 07:50:03</t>
  </si>
  <si>
    <t>中工网</t>
  </si>
  <si>
    <t>2025-06-18 07:42:44</t>
  </si>
  <si>
    <t>2025-06-18 07:42:00</t>
  </si>
  <si>
    <t>2025-06-18 07:39:11</t>
  </si>
  <si>
    <t>2025-06-18 07:33:58</t>
  </si>
  <si>
    <t>2025-06-18 07:23:00</t>
  </si>
  <si>
    <t>2025-06-18 06:57:55</t>
  </si>
  <si>
    <t>2025-06-18 03:04:00</t>
  </si>
  <si>
    <t>2025-06-18 02:31:45</t>
  </si>
  <si>
    <t>本周日，100余所省内外大学助您填报高考志愿！</t>
  </si>
  <si>
    <t>2025-06-16 21:56:00</t>
  </si>
  <si>
    <t>　　2025年广东高考结束已有一周，按照官方安排，预计考生再过12天就要填报高考志愿了，主办，广州日报社健康教育新闻部、广州广报文化发展有限公司、中国教育在线联合承办的2025年广州高考招生咨询会将于6月22日9时—16时在广州越秀国际会议中心举行，超100所省内外好大学准时集结，公益助力科学填报高考志愿，　　在等待出分的时候，已经有考生和家长做了许多功课，但还是有些问题搞不清楚，希望找高校找专</t>
  </si>
  <si>
    <t>近百所高校参展广州高考招生咨询会,6月22日见!</t>
  </si>
  <si>
    <t>2025-06-13 22:23:00</t>
  </si>
  <si>
    <t>　　6月22日9时至16时，“圆梦高考”2025广州高考招生咨询会将于广州越秀国际会议中心举行，　　在咨询会上，省内外近百所高校将来现场“摆摊”，面对面回答考生及家长的疑问，此次咨询会亮点纷呈——不仅参会高校数量为历届最多，而且“双一流”及“双高”院校云集，院校类型层次丰富，将为考生志愿填报提供“一站式”服务，　　亮点一：数量多，参会院校数量为历届之最，　　“圆梦高考”2025广州高考招生咨询会</t>
  </si>
  <si>
    <t>“步愈履行“项目入选上海电子信息职业技术学院重点孵化计划</t>
  </si>
  <si>
    <t>2025-06-11 13:42:02</t>
  </si>
  <si>
    <t>石家庄新闻网</t>
  </si>
  <si>
    <t>“步愈履行“项目入选上海电子信息职业技术学院重点孵化计划，创新外骨骼技术助力患者康复近日，上海电子信息职业技术学院创新创业，学院的学生团队研发的“步愈康复“外骨骼辅助康复设备成功入选学校重点孵化项目，该项目通过创新技术为运动损伤患者提供智能化康复支持，获得广泛关注，该团队设计的外骨骼康复设备，创新地设计出了一款独树一帜的外骨骼辅助康复设备，它利用生物电信号检测肌肉状态，帮助以运动损伤为主的康复患</t>
  </si>
  <si>
    <t>＂步愈履行＂项目入选上海电子信息职业技术学院重点孵化计划</t>
  </si>
  <si>
    <t>2025-06-11 10:01:48</t>
  </si>
  <si>
    <t>学院的学生团队研发的“步愈康复“外骨骼辅助康复设备成功入选学校重点孵化项目，该项目通过创新技术为运动损伤患者提供智能化康复支持，获得广泛关注，该团队设计的外骨骼康复设备，创新地设计出了一款独树一帜的外骨骼辅助康复设备，它利用生物电信号检测肌肉状态，帮助以运动损伤为主的康复患者群体提供可视化的康复辅助，并在第一时间出具临床报告，为医生诊断提供一份兼具效率值和精确度的可靠证明，为帮助患者克服心理恐惧</t>
  </si>
  <si>
    <t>2025-06-11 09:48:56</t>
  </si>
  <si>
    <t>2025-06-11 09:36:00</t>
  </si>
  <si>
    <t>商讯</t>
  </si>
  <si>
    <t>第十六届湖南教博会志愿填报公益咨询活动将于6月下旬启动</t>
  </si>
  <si>
    <t>2025-06-10 21:36:59</t>
  </si>
  <si>
    <t>新湖南</t>
  </si>
  <si>
    <t>高考结束后，志愿填报成了考生家庭的关注重点，近日，湖南教博会组委会精心做好了志愿填报咨询服务，提升志愿填报服务普惠性、可及性、便捷性，计划组织开展第十六届湖南教博会公益咨询活动，6月26日至27日，本届湖南教博会将在长沙红星国际会展中心举办，近600所院校招生办来现场解析院校最新招生政策；1000名志愿填报专家坐镇指导，打破高招信息差；依据权威数据精准锁定目标院校，综合考生特长匹配合适专业，一站</t>
  </si>
  <si>
    <t>2025-06-10 21:10:50</t>
  </si>
  <si>
    <t>中华网生活频道</t>
  </si>
  <si>
    <t>　　“步愈履行“项目入选上海电子信息职业技术学院重点孵化计划，创新外骨骼技术助力患者康复　　近日，上海电子信息职业技术学院创新创业，学院的学生团队研发的“步愈康复“外骨骼辅助康复设备成功入选学校重点孵化项目，该项目通过创新技术为运动损伤患者提供智能化康复支持，获得广泛关注，　　该团队设计的外骨骼康复设备，创新地设计出了一款独树一帜的外骨骼辅助康复设备，它利用生物电信号检测肌肉状态，帮助以运动损伤</t>
  </si>
  <si>
    <t>拥抱AI、创新质胜、科教融汇——2025中国·长三角模具产业高峰论坛在上海成功举办</t>
  </si>
  <si>
    <t>2025-06-10 15:49:58</t>
  </si>
  <si>
    <t>6月4日，由上海市科学技术协会、中国模具工业协会、上海市科学技术交流中心指导，上海市模具技术协会、上海电子信息职业技术学院、长三角模具产教联盟联合主办，江西模界荣耀科技平台有限公司协办、中数复新智能科技，上海市经济和信息化委员会综合规划处处长赵广君在讲话中指出本次对话会恰逢其时，意义重大，有限公司承办的“2025中国·长三角模具产业高峰论坛”在上海召开，本次论坛以“拥抱AI、创新制胜、科教融汇”</t>
  </si>
  <si>
    <t>第九届上海市大学生“三新”活动创意大赛落幕</t>
  </si>
  <si>
    <t>2025-06-10 14:49:00</t>
  </si>
  <si>
    <t>摘要：“第九届上海市大学生‘三新’活动创意大赛——暨上海佘山国家旅游度假区文旅活动创意营销赛”于6月7日在上海对外经贸大学松江校区圆满举行，佘山国家旅游度假区相关负责人表示未来度假区将通过建立常态化、制度化的合作机制，联合高校开展前瞻性研究、创新项目孵化和人才培养，共建文旅创新实践基地，助力松江文旅产业高质量发展，记者邱爱荃上海报道引领新时代文旅行业发展趋势，推动文旅深度融合，佘山国家旅游度假区</t>
  </si>
  <si>
    <t>2025新一代信息技术产业产教融合发展大会暨职业院校电子信息类学院院长和系主任年会在福州成功举办</t>
  </si>
  <si>
    <t>2025-06-10 14:07:00</t>
  </si>
  <si>
    <t>　　为贯彻党中央关于职业教育工作的决策部署和习近平总书记有关重要指示批示精神，落实《关于深化现代职业教育体系建设改革的意见》和《教育强国建设规划纲要，》中关于加快建设现代职业教育体系的总体要求，推进《职业教育产教融合赋能提升行动实施方案，》，全国工业和信息化职业教育教学指导委员会电子信息分委员会，以“协同开放·守正创新”为主题，于6月5日至6月7日在福州成功举办2025新一代信息技术产业产教融合</t>
  </si>
  <si>
    <t>名校云集！2025广州高考咨询会6月22日启幕</t>
  </si>
  <si>
    <t>2025-06-09 21:34:00</t>
  </si>
  <si>
    <t>6月22日，“圆梦高考”2025广州高考招生咨询会将于广州越秀国际会议中心举行，主办，广州日报社健康教育部、广州广报文化发展有限公司、中国教育在线联合承办，中山大学、暨南大学、华南师范大学、广东外语外贸大学、广州医科大学、北京交通大学、天津大学、东南大学、西安交通大学、四川大学、电子科技大学、厦门大学等省内外名校的招生老师将来到现场面对面为考生和家长提供咨询，、西交利物浦大学、广东以色列理工学院</t>
  </si>
  <si>
    <t>2025-06-09 21:25:00</t>
  </si>
  <si>
    <t>企业观察网</t>
  </si>
  <si>
    <t>6月4日，由上海市科学技术协会、中国模具工业协会、上海市科学技术交流中心指导，上海市模具技术协会、上海电子信息职业技术学院、长三角模具产教联盟联合主办，江西模界荣耀科技平台有限公司协办、中数复新智能科技，上海市经济和信息化委员会综合规划处处长赵广君在讲话中指出本次对话会恰逢其时，意义重大，有限公司承办的“2025中国·长三角模具产业高峰论坛”在上海召开，本次论坛以“拥抱AI、创新质胜、科教融汇”</t>
  </si>
  <si>
    <t>说走就走的新佘山！这场大赛让00后用镜头与策划重新定义度假</t>
  </si>
  <si>
    <t>2025-06-09 18:03:04</t>
  </si>
  <si>
    <t>为及时引领新时代文旅行业发展趋势，推动旅游与文化的深度融合，佘山国家旅游度假区松江管委会与上海对外经贸大学会展与传播学院携手，共同举办了“第九届上海市大学生‘三新’活动创意大赛——暨上海佘山国家旅游度假区文旅活动创意营销赛”，赛事决赛于2025年6月7日下午在上海对外经贸大学松江校区圆满举行，当前，文旅行业正处于旅游与文化深度融合的新阶段，游客消费的即时性、景观性、符号性特征日益突出，这种新需求</t>
  </si>
  <si>
    <t>2025-06-09 17:43:07</t>
  </si>
  <si>
    <t>2025-06-09 17:42:05</t>
  </si>
  <si>
    <t>2025-06-09 17:38:12</t>
  </si>
  <si>
    <t>2025-06-09 17:38:00</t>
  </si>
  <si>
    <t>2025-06-09 17:37:58</t>
  </si>
  <si>
    <t>文汇报 周洁瑜</t>
  </si>
  <si>
    <t>2025-06-09 17:37:00</t>
  </si>
  <si>
    <t>为及时引领新时代文旅行业发展趋势，推动旅游与文化的深度融合，佘山国家旅游度假区松江管委会与上海对外经贸大学会展与传播学院携手，共同举办了“第九届上海市大学生‘三新’活动创意大赛——暨上海佘山国家旅游度假区文旅活动创意营销赛”，赛事决赛于2025年6月7日下午在上海对外经贸大学松江校区圆满举行，打开APP，查看更多精彩图片当前，文旅行业正处于旅游与文化深度融合的新阶段，游客消费的即时性、景观性、符</t>
  </si>
  <si>
    <t>探索AI赋能教育教学与产教融合新路径！大湾区职业教育高质量发展……</t>
  </si>
  <si>
    <t>2025-06-09 11:25:41</t>
  </si>
  <si>
    <t>羊城晚报金羊网</t>
  </si>
  <si>
    <t>近日，由顺德职业技术学院、佛山市域产教联合体主办，广东省人工智能素养研究院、超星职业教育研究院承办的“大湾区职业教育高质量发展高端论坛，大家一致认为需通过建立 的长效机制，推动企业深度参与专业规划、课程设置与实训基地建设，优化资源配置，提升人才培养质量，更好满足产业升级需求，与会嘉宾纷纷表示粤港澳大湾区职业教育正以开放姿态拥抱人工智能时代，本次论坛不仅是一次思想与实践碰撞的盛宴，更为大湾区职业教</t>
  </si>
  <si>
    <t>探索AI赋能教育教学与产教融合新路径！大湾区职业教育高质量发展高端论坛在顺德举行</t>
  </si>
  <si>
    <t>2025-06-09 11:11:00</t>
  </si>
  <si>
    <t>羊城派</t>
  </si>
  <si>
    <t>论“士志于道”的古今演变</t>
  </si>
  <si>
    <t>2025-06-09 08:14:15</t>
  </si>
  <si>
    <t>津云</t>
  </si>
  <si>
    <t>　　《道义与天下：中国知识分子精神的古代源流与当代塑造》，李梦云著，中国出版集团东方出版中心2024年12月出版，任重而道远穷则独善其身，达则兼善天下，从周敦颐《爱莲说》中出淤泥而不染，濯清涟而不妖，从周敦颐《爱莲说》中先天下之忧而忧，后天下之乐而乐，　　古代是探寻中国知识分子精神源流的源头活水，当代则是塑造中国知识分子精神的现实根基，二者共同勾勒出中国知识分子精神传承与发展的脉络，无论是追溯古</t>
  </si>
  <si>
    <t>论“士志于道”的古今演变（图）</t>
  </si>
  <si>
    <t>2025-06-09 08:11:17</t>
  </si>
  <si>
    <t>津云客户端</t>
  </si>
  <si>
    <t>朱盼娣 肖伟光</t>
  </si>
  <si>
    <t>https://digitalnewspaper.tjyun.com/newspaper/v6/tjrbDetail.html?resultId=850909_01337f72448cb4f243f4c33256e9db1164e2398739390a433f6c88db4ecf7c4c&amp;layout=11&amp;date=202569</t>
  </si>
  <si>
    <t>论“士志于道”的古今演变（图）朱盼娣 肖伟光</t>
  </si>
  <si>
    <t>2025-06-09 04:56:43</t>
  </si>
  <si>
    <t>天津日报</t>
  </si>
  <si>
    <t>2025-06-09 00:00:00</t>
  </si>
  <si>
    <t>肖伟光《道义与天下：中国知识分子精神的古代源流与当代塑造》，李梦云著，中国出版集团东方出版中心2024年12月出版，任重而道远穷则独善其身，达则兼善天下，从周敦颐《爱莲说》中出淤泥而不染，濯清涟而不妖，从周敦颐《爱莲说》中先天下之忧而忧，后天下之乐而乐，古代是探寻中国知识分子精神源流的源头活水，当代则是塑造中国知识分子精神的现实根基，二者共同勾勒出中国知识分子精神传承与发展的脉络，无论是追溯古代</t>
  </si>
  <si>
    <t>2025-06-08 23:59:59</t>
  </si>
  <si>
    <t>https://digitalnewspaper.tjyun.com/newspaper/v6/tjrbDetail.html?resultId=850909_01337f72448cb4f243f4c33256e9db1164e2398739390a433f6c88db4ecf7c4c&amp;layout=11&amp;date=202568</t>
  </si>
  <si>
    <t>大湾区职业教育高质量发展高端论坛在顺德举行 探索AI赋能教育教学与产教融合新路径</t>
  </si>
  <si>
    <t>2025-06-07 21:54:00</t>
  </si>
  <si>
    <t>6月6日至7日，由顺德职业技术学院、佛山市域产教联合体主办，广东省人工智能素养研究院、超星职业教育研究院承办的“大湾区职业教育高质量发展高端论坛，大家一致认为需通过建立 的长效机制，推动企业深度参与专业规划、课程设置与实训基地建设，优化资源配置，提升人才培养质量，更好满足产业升级需求，与会嘉宾纷纷表示粤港澳大湾区职业教育正以开放姿态拥抱人工智能时代，本次论坛不仅是一次思想与实践碰撞的盛宴，更为大</t>
  </si>
  <si>
    <t>高考加油！致最好的你！</t>
  </si>
  <si>
    <t>2025-06-07 08:30:00</t>
  </si>
  <si>
    <t>HANGHAIINTERNATIONALSTUDIESUNIVERSIT。</t>
  </si>
  <si>
    <t>@考生，高考加油！梦虽遥，追则能达；愿虽艰，持则可圆</t>
  </si>
  <si>
    <t>2025-06-06 22:16:09</t>
  </si>
  <si>
    <t>沪上高考将拉开序幕，市教委携沪上高校祝愿考生们，笔锋所至皆是心之所向，提笔落墨不负青春年华！复旦大学上海交通大学同济大学华东师范大学华东理工大学上海外国语大学东华大学上海财经大学上海理工大学上海海事大学上海音乐学院上海戏剧学院上海体育大学华东政法大学上海海洋大学上海电力大学上海大学上海中医药大学上海师范大学上海对外经贸大学上海应用技术大学上海开放大学上海第二工业大学上海立信会计金融学院上海工程技</t>
  </si>
  <si>
    <t>沪上高考将拉开序幕，市教委携沪上高校祝愿考生们，笔锋所至皆是心之所向，提笔落墨不负青春年华！复旦大学上海交通大学同济大学华东师范大学华东理工大学上海外国语大学东华大学上海财经大学上海理工大学上海海事大学上海音乐学院上海戏剧学院上海体育大学华东政法大学上海海洋大学上海电力大学上海大学上海中医药大学  上海师范大学上海对外经贸大学上海应用技术大学上海开放大学上海第二工业大学上海立信会计金融学院上海工</t>
  </si>
  <si>
    <t>2025-06-06 22:15:06</t>
  </si>
  <si>
    <t>沪上高考将拉开序幕，市教委携沪上高校祝愿考生们，笔锋所至皆是心之所向，提笔落墨不负青春年华！，HANGHALINTERNATIONALSTUDIESUNIVERSIT。</t>
  </si>
  <si>
    <t>2025-06-06 22:02:00</t>
  </si>
  <si>
    <t>转载请注明上海市教委政务微信“上海教育” 6月7日沪上高考将拉开序幕， 小育携沪上高校祝愿考生们， 笔锋所至皆是心之所向， 提笔落墨不负青春年华。 复旦大学 上海交通大学 同济大学 华东师范大学 华东理工大学 上海外国语大学 东华大学 上海财经大学 上海理工大学 上海海事大学 上海音乐学院 上海戏剧学院 上海体育大学 华东政法大学 上海海洋大学 上海电力大学 上海大学 上海中医药大学    上海</t>
  </si>
  <si>
    <t>2025-06-06 20:19:00</t>
  </si>
  <si>
    <t>转载请注明上海市教委政务微信“上海教育”6月7日沪上高考将拉开序幕，小育携沪上高校祝愿考生们，笔锋所至皆是心之所向，提笔落墨不负青春年华，复旦大学打开APP，查看更多精彩图片上海交通大学同济大学华东师范大学华东理工大学上海外国语大学东华大学上海财经大学上海理工大学上海海事大学上海音乐学院上海戏剧学院上海体育大学华东政法大学上海海洋大学上海电力大学上海大学上海中医药大学上海师范大学上海对外经贸大学</t>
  </si>
  <si>
    <t>AI大神养成计划已就位，速来围观头桥街道的隐藏技能</t>
  </si>
  <si>
    <t>2025-06-06 15:26:00</t>
  </si>
  <si>
    <t>迈向智能未来，加入头桥街道“数智青苗”培训班，加入头桥街道数智青苗培训班 与上海电子信息职业技术学院共绘科技蓝图。</t>
  </si>
  <si>
    <t>2025-06-06 12:01:40</t>
  </si>
  <si>
    <t>2025-06-06 12:01:00</t>
  </si>
  <si>
    <t>上海市第三生态环境保护督察组与奉贤区开展联学共建主题党日活动，全国文明单位风采丨金海街道奋楫笃行，擘画大美金海文明新篇，加入头桥街道数智青苗培训班 与上海电子信息职业技术学院共绘科技蓝图，文明风采丨城市文明市民发言人登台亮相，展示贤城文明故事，薪火相传”奉贤区青年职工理论学习分享会暨新一届劳模宣讲会顺利举办！，迈向智能未来，加入头桥街道“数智青苗”培训班。</t>
  </si>
  <si>
    <t>从“上海先生”到“双生姐妹花”，上海健美的历史回响与时代绽放</t>
  </si>
  <si>
    <t>2025-06-06 06:21:09</t>
  </si>
  <si>
    <t>东方网6月5日消息：“非凡故事”是上海社体竞赛在“上海市非奥运动项目宣传系列”基础上焕新升级的专栏，栏目依托“非凡有你”上海市非奥运动项目荣誉榜，聚焦上海运动员在非奥项目中的历史性突破，讲述获奖运动员的拼搏故事和精彩人生，反映非奥运动项目在上海的发展历程，展现项目的精神与文化，从1944年八仙桥礼堂的“上海先生”首冠，到2023年IFBB世锦赛曹氏姐妹让五星红旗在女子健身项目首次升起；从赵竹光翻</t>
  </si>
  <si>
    <t>2025-06-06 05:49:21</t>
  </si>
  <si>
    <t>汪伟秋</t>
  </si>
  <si>
    <t>2025-06-06 05:49:00</t>
  </si>
  <si>
    <t>打开APP，查看更多精彩图片东方网6月5日消息：“非凡故事”是上海社体竞赛在“上海市非奥运动项目宣传系列”基础上焕新升级的专栏，栏目依托“非凡有你”上海市非奥运动项目荣誉榜，聚焦上海运动员在非奥项目中的历史性突破，讲述获奖运动员的拼搏故事和精彩人生，反映非奥运动项目在上海的发展历程，展现项目的精神与文化，从1944年八仙桥礼堂的“上海先生”首冠，到2023年IFBB世锦赛曹氏姐妹让五星红旗在女子</t>
  </si>
  <si>
    <t>纵相新闻</t>
  </si>
  <si>
    <t>【菁菁教苑】学生进入考试月,老师们参赛也蛮拼,在单向镜子墙面后接受外校专家组评课打分</t>
  </si>
  <si>
    <t>2025-06-04 16:53:16</t>
  </si>
  <si>
    <t>徐瑞哲</t>
  </si>
  <si>
    <t>“‘竹外桃花三两枝’，女儿读书要背诵苏东坡的《惠崇春江晚景》，我就让她先画了一幅画，画出竹子、桃花、鸭子、芦蒿、河豚等，结果一背就背出来了，上海市民办学校教师专业发展中心常务副主任徐雄伟教授认为在AI时代，教师与学生面对面、即时、直接、带着情感与温度的交流方式，仍是教师实现个性化教学、传递人文关怀、帮助学生发展社交和合作能力的重要且无法被替代的途径，是教育的核心价值所在，业您说我应看到了 对照组</t>
  </si>
  <si>
    <t>学生进入考试月，老师们参赛也蛮拼，在单向镜子墙面后接受外校专家组评课打分</t>
  </si>
  <si>
    <t>2025-06-04 15:35:09</t>
  </si>
  <si>
    <t>“‘竹外桃花三两枝’，女儿读书要背诵苏东坡的《惠崇春江晚景》，我就让她先画了一幅画，画出竹子、桃花、鸭子、芦蒿、河豚等，结果一背就背出来了，上海市民办学校教师专业发展中心常务副主任徐雄伟教授认为在AI时代，教师与学生面对面、即时、直接、带着情感与温度的交流方式，仍是教师实现个性化教学、传递人文关怀、帮助学生发展社交和合作能力的重要且无法被替代的途径，是教育的核心价值所在，咨询辅导赛道高校毕业生是</t>
  </si>
  <si>
    <t>2025-06-04 15:12:13</t>
  </si>
  <si>
    <t>“‘竹外桃花三两枝’，女儿读书要背诵苏东坡的《惠崇春江晚景》，我就让她先画了一幅画，画出竹子、桃花、鸭子、芦蒿、河豚等，结果一背就背出来了，上海市民办学校教师专业发展中心常务副主任徐雄伟教授认为在AI时代，教师与学生面对面、即时、直接、带着情感与温度的交流方式，仍是教师实现个性化教学、传递人文关怀、帮助学生发展社交和合作能力的重要且无法被替代的途径，是教育的核心价值所在，”6月，当学生们进入期末</t>
  </si>
  <si>
    <t>2025-06-04 15:07:11</t>
  </si>
  <si>
    <t>图片来源：除署名外，受访高校决2：意义关联法。</t>
  </si>
  <si>
    <t>2025-06-04 15:07:10</t>
  </si>
  <si>
    <t>2025-06-04 15:07:00</t>
  </si>
  <si>
    <t>2025-06-04 15:06:37</t>
  </si>
  <si>
    <t>解放日报 徐瑞哲</t>
  </si>
  <si>
    <t>2025-06-04 15:06:00</t>
  </si>
  <si>
    <t>上海高校学生国家安全素养展示活动中片区展示选拔活动圆满举行</t>
  </si>
  <si>
    <t>2025-06-03 16:18:40</t>
  </si>
  <si>
    <t>5月25日，上海高校学生国家安全素养展示活动中片区展示选拔活动在上海交通大学闵行校区顺利举行，上海市教委学校后勤保卫处副处长黄峰、市教委教育技术装备中心副主任赵晓伟、上海市学校安全协会秘书长欧阳世泉、驻会副秘书长尤丽芬、上海天跃科技股份有限公司教育部总经理姚一民等领导等嘉宾出席活动，本次片区展示选拔活动由上海市教育委员会主办，上海市教育委员会教育技术装备中心、上海市学校安全协会、上海交通大学承办</t>
  </si>
  <si>
    <t>2025-06-03 16:18:00</t>
  </si>
  <si>
    <t>材料工程：创新引领未来，青春勇立潮头</t>
  </si>
  <si>
    <t>2025-06-03 10:32:44</t>
  </si>
  <si>
    <t>5月26日，上海市材料工程学校市场部主任萧央以“创新引领未来，青春勇立潮头”为主题，发表本周“国旗下的讲话”，激励全校“材”子在创新的道路上砥砺前行，用智慧和汗水书写材料精彩篇章，萧老师指出创新的浪潮奔涌向前，学校构筑慧·竹文化土壤，围绕慧生活、慧制造、慧创联，为大家搭建了广阔的双创舞台，讲话中，萧老师回顾了自今年3月18日第五届“慧之创”材料双创节开幕以来，学校精心组织开展的一系列双创活动：邀</t>
  </si>
  <si>
    <t>2025-06-03 10:32:00</t>
  </si>
  <si>
    <t>欢迎报考上海市经济管理学校</t>
  </si>
  <si>
    <t>2025-06-02 16:59:36</t>
  </si>
  <si>
    <t>学生导报</t>
  </si>
  <si>
    <t>让每位学生都有人生出彩的机会上海市经济管理学校01学校简介上海市经济管理学校，是1985年经上海市人民政府批准成立的全日制中等专业学校，直属上海市教育委员会，由上海第二工业大学管理，4搭建留学通道就业、升学和留学三通道，学校位于市中心，地理位置优越，四条轨交线路和十多条公交线路直达，交通便捷，环境优雅，学校是国家重点中专、全国国防教育示范校、世界技能大赛项目集训基地、首批上海市文明校园、首批上海</t>
  </si>
  <si>
    <t>让求职变成一场“边走边聊”的轻松对话</t>
  </si>
  <si>
    <t>2025-06-02 14:30:26</t>
  </si>
  <si>
    <t>5月31日晚上，“全民唱享”演唱会的旋律在临港新片区的夜空中流淌，而码头另一侧，“人才市集”招聘夜市展位呈一字排开，张培告诉记者首场联动的效果令人惊喜——原本预计一两百人，实际涌来超三百名学子，91份简历当场匹配成功，张培还补充介绍道来临港实习的大学生，本科、硕士、博士每月可分别获得2000元、3000元、5000元补贴；外省市及海外高校学生还能额外领取最高1000元交通住宿补贴，10家来自临港</t>
  </si>
  <si>
    <t>2025-06-02 14:22:00</t>
  </si>
  <si>
    <t>2025-06-02 14:19:06</t>
  </si>
  <si>
    <t>2025-06-02 14:11:00</t>
  </si>
  <si>
    <t>以年轻人喜闻乐见的形式 “年轻人的城”把招聘会嵌入演唱会 让求职变成一场“边走边聊”的轻松对话</t>
  </si>
  <si>
    <t>2025-06-02 14:01:31</t>
  </si>
  <si>
    <t>长江网</t>
  </si>
  <si>
    <t>5月31日晚上，“全民唱享”演唱会的旋律在临港新片区的夜空中流淌，而码头另一侧，“人才市集”招聘夜市展位呈一字排开，  张培告诉记者首场联动的效果令人惊喜——原本预计一两百人，实际涌来超三百名学子，91份简历当场匹配成功，张培还补充介绍道来临港实习的大学生，本科、硕士、博士每月可分别获得2000元、3000元、5000元补贴；外省市及海外高校学生还能额外领取最高1000元交通住宿补贴，10家来自</t>
  </si>
  <si>
    <t>2025-06-02 11:13:24</t>
  </si>
  <si>
    <t>长江头条</t>
  </si>
  <si>
    <t>解放日报</t>
  </si>
  <si>
    <t>5月31日晚上，“全民唱享”演唱会的旋律在临港新片区的夜空中流淌，而码头另一侧，“人才市集”招聘夜市展位呈一字排开，年轻人告诉我们年轻人告诉我们，传统面试太紧张。  张培告诉记者首场联动的效果令人惊喜——原本预计一两百人，实际涌来超三百名学子，91份简历当场匹配成功，张培还补充介绍道来临港实习的大学生，本科、硕士、博士每月可分别获得2000元、3000元、5000元补贴；外省市及海外高校学生还能</t>
  </si>
  <si>
    <t>2025-06-02 10:08:44</t>
  </si>
  <si>
    <t>2025-06-02 10:07:15</t>
  </si>
  <si>
    <t>沈思怡</t>
  </si>
  <si>
    <t>2025-06-02 09:31:03</t>
  </si>
  <si>
    <t>2025-06-02 09:06:00</t>
  </si>
  <si>
    <t>视频 | 让求职变成一场“边走边聊”的轻松对话</t>
  </si>
  <si>
    <t>2025-06-02 07:51:34</t>
  </si>
  <si>
    <t>让求职变成一场“边走边聊”的轻松对话让求职变成一场“边走边聊”的轻松对话，06/02D7:5：小雨转中雨23-28℃，5月31日晚上，“全民唱享”演唱会的旋律在临港新片区的夜空中流滴，，而码头另一侧，“人才市集”招聘夜市展位呈一字排开，10家来自临港的重点企业摊位前人头援动，简历，投递、双向了解、政策咨询，现场气氛十分火热，青年求职者的身影穿梭于歌声与摊位之间，更为临港，求职位前，上海电子信息职</t>
  </si>
  <si>
    <t>太超前了！上海这里，看演唱会烟花秀，还能顺便找个工作！官方放大招：实习最高补贴5000元</t>
  </si>
  <si>
    <t>2025-06-02 07:02:13</t>
  </si>
  <si>
    <t>　　10家来自临港的重点企业摊位前人头攒动，简历投递、双向了解、政策咨询，现场气氛十分火热，他告诉记者专科时间紧，大三毕业就要走上工作岗位了，留给我实习试错的时间不足一年。他告诉记者他通过学校老师的通知了解到本次参加招聘会，来投简历，不仅是为练胆，更是希望找到一份与自己专业匹配的实习工作，接受记者采访时我在临港度过了三年研究生的生涯，见证了临港集成电路产业的发展，这边有很多专业对口的公司，我希望</t>
  </si>
  <si>
    <t>以年轻人喜闻乐见的形式，“年轻人的城”把招聘会嵌入演唱会让求职变成一场“边走边聊”的轻松对话</t>
  </si>
  <si>
    <t>2025-06-02 05:17:14</t>
  </si>
  <si>
    <t>2025-06-02 05:11:50</t>
  </si>
  <si>
    <t>上海电子信息职业技术学院：“临港新片区校园引才工作站”授牌</t>
  </si>
  <si>
    <t>2025-06-01 19:13:00</t>
  </si>
  <si>
    <t>5月29日，“临港新片区校园引才工作站”授牌仪式暨2025年校园综合招聘会在上海电子信息职业技术学院奉贤校区举办，在欢迎辞中指出的授牌，是上海电子信息职业技术学院与临港新片区深度合作搭建的一个全新的平台，这既是市教委和临港新片区管委会对学校育人工作的肯定与信任，更是学校未来发展道路上的一个全新机遇，上海市教委副主任王浩指出高校毕业生是党和国家宝贵的人才资源，高校毕业生等青年就业创业工作关系千家万</t>
  </si>
  <si>
    <t>2025-06-01 19:12:52</t>
  </si>
  <si>
    <t>临港新片区管委会副主任苗挺与市教委副主任王浩共同启动上海电子信息职业技术学院2025年校园综合招聘会，与会嘉宾在招聘会现场与用人单位、辅导员、学生亲切交流，详细了解行业企业的用人需求情况、薪资待遇和学生的就业意愿、简历投递情况等。</t>
  </si>
  <si>
    <t>2025-06-01 19:12:09</t>
  </si>
  <si>
    <t>2025-06-01 19:12:00</t>
  </si>
  <si>
    <t>2025-06-01 19:01:11</t>
  </si>
  <si>
    <t>2025-06-01 13:43:57</t>
  </si>
  <si>
    <t>5月31日晚上，“全民畅享”演唱会的旋律在临港新片区的夜空中流淌，而与之交相辉映的，是码头另一侧一字排开的人才市集招聘夜市展位，他告诉记者他通过学校老师的通知了解到本次参加招聘会，来投简历，不仅是为练胆，更是希望找到一份与自己专业匹配的实习工作， 不远处，上海电力大学集成电路工程专业的硕士应届生汪声磊则目标明确——他刚向上海芯谦集成电路有限公司投出简历，等待HR通知后续的面试机会，接受记者采访时</t>
  </si>
  <si>
    <t>2025-06-01 13:41:23</t>
  </si>
  <si>
    <t>5月31日晚上，“全民畅享”演唱会的旋律在临港新片区的夜空中流淌，而与之交相辉映的，是码头另一侧一字排开的人才市集招聘夜市展位，他告诉记者他通过学校老师的通知了解到本次参加招聘会，来投简历，不仅是为练胆，更是希望找到一份与自己专业匹配的实习工作， 现场投递简历的大学生，接受记者采访时刚投完简历的汪声磊仍显紧张，脸涨得通红，讲话还有些磕巴，但他坦言，演唱会与招聘交织的形式已让他感到松弛不少， 市集</t>
  </si>
  <si>
    <t>临港把求职招聘会开到演唱会烟花秀现场，大学生来实习最高补贴5000元</t>
  </si>
  <si>
    <t>2025-06-01 10:51:09</t>
  </si>
  <si>
    <t>【自贸区】临港把求职招聘会开到演唱会烟花秀现场,大学生来实习最高补贴5000元</t>
  </si>
  <si>
    <t>2025-06-01 10:14:39</t>
  </si>
  <si>
    <t>2025-06-01 09:47:07</t>
  </si>
  <si>
    <t>5月31日晚上，“全民畅享”演唱会的旋律在临港新片区的夜空中流淌，而与之交相辉映的，是码头另一侧一字排开的人才市集招聘夜市展位，他告诉记者专科时间紧，大三毕业就要走上工作岗位了，留给我实习试错的时间不足一年。他告诉记者他通过学校老师的通知了解到本次参加招聘会，来投简历，不仅是为练胆，更是希望找到一份与自己专业匹配的实习工作，接受记者采访时我在临港度过了三年研究生的生涯，见证了临港集成电路产业的发</t>
  </si>
  <si>
    <t>2025-06-01 09:40:56</t>
  </si>
  <si>
    <t>Choice数据</t>
  </si>
  <si>
    <t>5月31日晚上，“全民畅享”演唱会的旋律在临港新片区的夜空中流淌，而与之交相辉映的，是码头另一侧一字排开的人才市集招聘夜市展位，他告诉记者他通过学校老师的通知了解到本次参加招聘会，来投简历，不仅是为练胆，更是希望找到一份与自己专业匹配的实习工作，  现场投递简历的大学生，接受记者采访时刚投完简历的汪声磊仍显紧张，脸涨得通红，讲话还有些磕巴，但他坦言，演唱会与招聘交织的形式已让他感到松弛不少， 　</t>
  </si>
  <si>
    <t>2025-06-01 09:39:09</t>
  </si>
  <si>
    <t>2025-06-01 09:38:03</t>
  </si>
  <si>
    <t>解放日报 沈思怡</t>
  </si>
  <si>
    <t>5月31日晚上，“全民唱享”演唱会的旋律在临港新片区的夜空中流淌，而与之交相辉映的，是码头另一侧一字排开的人才市集招聘夜市展位，他告诉记者他通过学校老师的通知了解到本次参加招聘会，来投简历，不仅是为练胆，更是希望找到一份与自己专业匹配的实习工作， 现场投递简历的大学生，接受记者采访时刚投完简历的汪声磊仍显紧张，脸涨得通红，讲话还有些磕巴，但他坦言，演唱会与招聘交织的形式已让他感到松弛不少， 市集</t>
  </si>
  <si>
    <t>2025-06-01 09:38:00</t>
  </si>
  <si>
    <t>看烟花、听歌会，还能找工作！上海这座新城举办“人才夜市”，为年轻人搭建求职新场景</t>
  </si>
  <si>
    <t>2025-05-31 22:10:31</t>
  </si>
  <si>
    <t>话匣子</t>
  </si>
  <si>
    <t>一边看烟花、听歌会一边找工作是一种什么样的体验，裕芯电子公司人事负责人邓女士说集成电路高端人才还是比较紧缺的。我们也希望抓住滴水湖夜晚的这波流量，为公司物色到更多人才。这个端午假期位于上海东南角的临港新片区举办了一场特别的“人才夜市”为青年人搭建不一样的求职场景5月31日晚在滴水湖一号码头 迎着初夏傍晚的微风沐浴着落日的余晖这场“人才夜市”拉开帷幕来自临港的各家企业沿湖摆摊与求职者面对面交流除了</t>
  </si>
  <si>
    <t>赋能求职全链条！奉城镇这场招聘会让高校学子“来一趟，全搞定”</t>
  </si>
  <si>
    <t>2025-05-31 19:36:00</t>
  </si>
  <si>
    <t>2025年全国城市联合招聘高校毕业生奉城镇春季专场活动MEENG，此次招聘会以“规模大、服务全、体验新、成效显”的特点，赢得了参会学子与企业代表的一致好评，为毕业季画上了浓墨重彩的一笔！奉城镇38家优质企业携92个精选岗位、273个招聘需求诚意而来，覆盖信息技术、金融科技、高端制造、教育培训、生物医药、文化创意等多个前沿领域，最高月薪达30000元的岗位吸引众多优秀学子驻足咨询，展现了市场对高素</t>
  </si>
  <si>
    <t>2025-05-31 16:32:38</t>
  </si>
  <si>
    <t>上观号作者：上海奉贤乐业上海优+ 2025年全国城市联合招聘高校毕业生 秦城镇春季专场活动 主办单位： 委货区人力资#和社会保障局 华贷区总工会 本语区进设军人事务局 泰资区奉城镇人民政府 上海电子信息职业技术学院 泰资区就业促进中心 春员区人才开发服务中心 泰城镇总工会 共青团奉城委员会 泰城铺社区事务受 IMG: 政策咨询 202 聘高统牛业生 2251 活动 策咨询 #询 大学生就业 专项</t>
  </si>
  <si>
    <t>2025-05-31 16:32:00</t>
  </si>
  <si>
    <t>2025年全国城市联合招聘高校毕业生奉城镇春季专场活动，近日，“2025年全国城市联合招聘高校毕业生奉城镇春季专场活动”在上海电子信息职业技术学院举行，此次招聘会以“规模大、服务全、体验新、成效显”的特点，赢得了参会学子与企业代表的一致好评，为毕业季画上了浓墨重彩的一笔！，奉城镇38家优质企业携92个精选岗位、273个招聘需求诚意而来，覆盖信息技术、金融科技、高端制造、教育培训、生物医药、文化创</t>
  </si>
  <si>
    <t>产教融合、校企协同，沪高校探索光刻设备全生命周期人才培养体系</t>
  </si>
  <si>
    <t>2025-05-30 15:27:12</t>
  </si>
  <si>
    <t>人民网上海</t>
  </si>
  <si>
    <t>为响应国家战略需求，服务长三角集成电路产业战略需求，破解国产光刻机运维领域技术技能人才短缺困境，日前，上海电子信息职业技术学院联合吉姆西半导体、上海微电子、中微半导体、芯源微等头部企业，立足产业链核心环节，瞄准高端装备安装调试、维护维修等技术岗位缺口，开展“光刻机检测与运维”微专业建设，构建国内首个光刻设备全生命周期人才培养体系，培养掌握光刻机检测、运维等核心技能的高素质技术技能人才，该微专业拟</t>
  </si>
  <si>
    <t>2025-05-30 15:24:58</t>
  </si>
  <si>
    <t>2025-05-30 15:24:08</t>
  </si>
  <si>
    <t>本文转自：-上海频道人民网上海5月30日电，为响应国家战略需求，服务长三角集成电路产业战略需求，破解国产光刻机运维领域技术技能人才短缺困境，日前，上海电子信息职业技术学院联合吉姆西半导体、上海微电子、中微半导体、芯源微等头部企业，立足产业链核心环节，瞄准高端装备安装调试、维护维修等技术岗位缺口，开展“光刻机检测与运维”微专业建设，构建国内首个光刻设备全生命周期人才培养体系，培养掌握光刻机检测、运</t>
  </si>
  <si>
    <t>2025-05-30 15:15:06</t>
  </si>
  <si>
    <t>本文转自：人民网-上海频道人民网上海5月30日电，为响应国家战略需求，服务长三角集成电路产业战略需求，破解国产光刻机运维领域技术技能人才短缺困境，日前，上海电子信息职业技术学院联合吉姆西半导体、上海微电子、中微半导体、芯源微等头部企业，立足产业链核心环节，瞄准高端装备安装调试、维护维修等技术岗位缺口，开展“光刻机检测与运维”微专业建设，构建国内首个光刻设备全生命周期人才培养体系，培养掌握光刻机检</t>
  </si>
  <si>
    <t>人民日报竖版视频</t>
  </si>
  <si>
    <t>转自：人民网－上海频道人民网上海5月30日电，为响应国家战略需求，服务长三角集成电路产业战略需求，破解国产光刻机运维领域技术技能人才短缺困境，日前，上海电子信息职业技术学院联合吉姆西半导体、上海微电子、中微半导体、芯源微等头部企业，立足产业链核心环节，瞄准高端装备安装调试、维护维修等技术岗位缺口，开展“光刻机检测与运维”微专业建设，构建国内首个光刻设备全生命周期人才培养体系，培养掌握光刻机检测、</t>
  </si>
  <si>
    <t>2025-05-30 15:15:00</t>
  </si>
  <si>
    <t>上海电子信息职业技术学院:聚临港，筑未来！学校举行“临港新片区校园引才工作站”授牌仪式暨2025年校园综合招聘会</t>
  </si>
  <si>
    <t>2025-05-30 10:40:15</t>
  </si>
  <si>
    <t>5月29日下午，“临港新片区校园引才工作站”授牌仪式暨2025年校园综合招聘会在上海电子信息职业技术学院奉贤校区举办，赵坚在欢迎辞中指出的授牌，是上海电子信息职业技术学院与临港新片区深度合作搭建的一个全新的平台，这既是市教委和临港新片区管委会对学校育人工作的肯定与信任，更是学校未来发展道路上的一个全新机遇，本次活动是在上海市教育委员会、临港新片区管委会的指导下，由上海电子信息职业技术学院、临港新</t>
  </si>
  <si>
    <t>BCS2025中国网络安全优秀案例TOP50名单公布</t>
  </si>
  <si>
    <t>2025-05-28 17:26:28</t>
  </si>
  <si>
    <t>5月28日，北京网络安全大会组委会公布了BCS2025中国网络安全优秀案例TOP50名单，主办方表示后续还将通过系统整理案例集、搭建线上交流平台等方式，对优秀案例进行多维度推广，将各领域的实战经验转化为可复制的解决方案，此次征集活动自启动以来，吸引了各行业的广泛关注和积极参与，收到大量来自不同领域的网络安全案例，经过严格评审，最终筛选出50，个代表当前国内网络安全建设领先水平的优秀案例，携手中国</t>
  </si>
  <si>
    <t>2025-05-28 16:46:00</t>
  </si>
  <si>
    <t>千龙网</t>
  </si>
  <si>
    <t>5月28日，北京网络安全大会组委会公布了BCS2025中国网络安全优秀案例TOP50名单，主办方表示后续还将通过系统整理案例集、搭建线上交流平台等方式，对优秀案例进行多维度推广，将各领域的实战经验转化为可复制的解决方案，对文章事实有疑问请与有关方核实或与本网联系，此次征集活动自启动以来，吸引了各行业的广泛关注和积极参与，收到大量来自不同领域的网络安全案例，经过严格评审，最终筛选出这50，个代表当</t>
  </si>
  <si>
    <t>2025-05-28 16:45:00</t>
  </si>
  <si>
    <t>2025-05-28 16:17:29</t>
  </si>
  <si>
    <t>2025-05-28 15:36:32</t>
  </si>
  <si>
    <t>观察者网</t>
  </si>
  <si>
    <t>大力商业评论</t>
  </si>
  <si>
    <t>5月28日，北京网络安全大会组委会公布了BCS2025中国网络安全优秀案例TOP50名单，主办方表示后续还将通过系统整理案例集、搭建线上交流平台等方式，对优秀案例进行多维度推广，将各领域的实战经验转化为可复制的解决方案，此次征集活动自启动以来，吸引了各行业的广泛关注和积极参与，收到大量来自不同领域的网络安全案例，经过严格评审，最终筛选出这，个代表当前国内网络安全建设领先水平的优秀案例，携手中国互</t>
  </si>
  <si>
    <t>2025-05-28 15:24:33</t>
  </si>
  <si>
    <t>2025-05-28 15:20:15</t>
  </si>
  <si>
    <t>2025-05-28 15:19:10</t>
  </si>
  <si>
    <t>2025-05-28 15:14:06</t>
  </si>
  <si>
    <t>2025-05-28 15:14:00</t>
  </si>
  <si>
    <t>5月28日，北京网络安全大会组委会公布了BCS2025中国网络安全优秀案例TOP50名单，主办方表示后续还将通过系统整理案例集、搭建线上交流平台等方式，对优秀案例进行多维度推广，将各领域的实战经验转化为可复制的解决方案，此次征集活动自启动以来，吸引了各行业的广泛关注和积极参与，收到大量来自不同领域的网络安全案例，经过严格评审，最终筛选出这，个代表当前国内网络安全建设领先水平的优秀案例，打开APP</t>
  </si>
  <si>
    <t>2025年上海市科学实验展演汇演决赛成绩出炉</t>
  </si>
  <si>
    <t>2025-05-27 20:37:25</t>
  </si>
  <si>
    <t>2025年上海市科学实验展演汇演决赛，在上海第二工业大学成功举办，从全市晋级的36组参赛队伍展开巅峰对决，最终诞生出一等奖2组、二等奖8组、三等奖10组，优秀奖若干，大破天元鼎、材料魔法课堂、“磁”旧迎新、狄仁杰探案之细菌现形记……妙趣横生的科学实验，趣味精彩的科普展示，将科学知识和科学精神传播开来，自去年开启招募，2025年上海市科学实验展演汇演共吸引全市，参赛选手跨界融合，有高校的师生、科普</t>
  </si>
  <si>
    <t>2025-05-27 20:02:00</t>
  </si>
  <si>
    <t>5月24日，由上海市科学技术委员会主办的2025年上海市科学实验展演汇演决赛，在上海第二工业大学成功举办，从全市晋级的36组参赛队伍展开巅峰对决，最终诞生出一等奖2组、二等奖8组、三等奖10组，优秀奖若干，大破天元鼎、材料魔法课堂、“磁”旧迎新、狄仁杰探案之细菌现形记……妙趣横生的科学实验，趣味精彩的科普展示，将科学知识和科学精神传播开来，自去年开启招募，2025年上海市科学实验展演汇演共吸引全</t>
  </si>
  <si>
    <t>2025-05-27 16:28:52</t>
  </si>
  <si>
    <t xml:space="preserve"> 来源：上海奉贤 2025年上海市。</t>
  </si>
  <si>
    <t>2025-05-27 16:28:00</t>
  </si>
  <si>
    <t>2025-05-27 13:01:54</t>
  </si>
  <si>
    <t xml:space="preserve">上观号作者：上海奉贤2025年上海市 科学实验展演汇演决赛 2025年5月24日 主办单位上海市科学技术委员会 协办单位 上海第二工业大学 各区科委（科经委、科协 支持单位 上海奇科技发展基金会 IMG: 长期耐温760℃左右 短期耐温在1000℃以上 IMG: 爆炸极限 是指可燃物在空气中能爆炸的浓度范围 藕粉的爆炸极限为2052000g/m3 IMG: fRange Distan IMG: </t>
  </si>
  <si>
    <t>2025-05-27 13:01:00</t>
  </si>
  <si>
    <t>产教学研融合如何实现核心技术突围？政校企资共话国产替代新动能</t>
  </si>
  <si>
    <t>2025-05-26 18:35:07</t>
  </si>
  <si>
    <t>5月26日，上海电子信息职业技术学院联合殊云资本、开源证券举办“人工智能・集成电路・高端制造产教学研融合创新发展座谈会”，就这一问题进行探讨，上海电子信息职业技术学院表示已通过 模式深化产教融合，未来将联合资本与企业，强化人工智能、集成电路等领域的应用型人才培养，为产业输送实战型人才，殊云资本创始合伙人表示资本需串联实验室创新与产业化，加速突破‘卡脖子’技术。殊云资本创始合伙人表示现场，沐曦集成</t>
  </si>
  <si>
    <t>直播预告|“多维协力 护航青春”公益讲座第三讲——AI对青少年心理影响：教师如何教？学生如何学？</t>
  </si>
  <si>
    <t>2025-05-26 18:10:20</t>
  </si>
  <si>
    <t>上海市心理学会青春期与性心理教育工作委员会，教育部全国学生心理健康工作咨询委员会华东片区，上海社会科学院青少年研究所、社会学研究所原所长，联合主办：东方网教育频道《大众心理学》杂志|中国性学会性教育分会|上海市性教育协会。</t>
  </si>
  <si>
    <t>聚焦核心技术突围 产教学研融合创新发展座谈会在沪举行</t>
  </si>
  <si>
    <t>2025-05-26 18:08:00</t>
  </si>
  <si>
    <t>5月26日，上海电子信息职业技术学院联合殊云资本、开源证券举办“人工智能・集成电路・高端制造产教学研融合创新发展座谈会”，上海电子信息职业技术学院相关代表表示已通过 模式深化产教融合，未来将联合资本与企业，强化人工智能、集成电路等领域的应用型人才培养，为产业输送实战型人才，殊云资本相关负责人表示资本需串联实验室创新与产业化，加速突破卡脖子技术，开源证券方面指出金融工具是打通产教融合最后一公里的关</t>
  </si>
  <si>
    <t>2025-05-26 17:56:17</t>
  </si>
  <si>
    <t>2025-05-26 17:54:25</t>
  </si>
  <si>
    <t>2025-05-26 17:54:13</t>
  </si>
  <si>
    <t>2025-05-26 17:53:05</t>
  </si>
  <si>
    <t>腾讯自选股</t>
  </si>
  <si>
    <t>2025-05-26 17:53:00</t>
  </si>
  <si>
    <t>政校企资共话国产替代新动能 产教学研融合座谈会聚焦核心技术突围</t>
  </si>
  <si>
    <t>2025-05-26 17:16:07</t>
  </si>
  <si>
    <t>东方网5月26日消息：近日，上海电子信息职业技术学院联合殊云资本、开源证券举办“人工智能・集成电路・高端制造产教学研融合创新发展座谈会”，上海电子信息职业技术学院表示已通过 模式深化产教融合，未来将联合资本与企业，强化人工智能、集成电路等领域的应用型人才培养，为产业输送实战型人才，殊云资本创始合伙人表示资本需串联实验室创新与产业化，加速突破‘卡脖子’技术。殊云资本创始合伙人表示现场，沐曦集成电路</t>
  </si>
  <si>
    <t>2025-05-26 16:52:11</t>
  </si>
  <si>
    <t>王泳婷</t>
  </si>
  <si>
    <t>2025-05-26 16:52:00</t>
  </si>
  <si>
    <t>运动激情点燃科创高地 2025“大零号湾·无限π跑”用速度解码未来</t>
  </si>
  <si>
    <t>2025-05-26 15:16:54</t>
  </si>
  <si>
    <t>5月25日，2025“大零号湾·无限π跑”活动在上海交通大学闵行校区霍英东体育中心活力开跑，  活动设置3公里健康跑与10公里精英跑双赛道后者首次实现上海交大闵行校区与华东师大闵行校区的双校联动，近3000名来自大零号湾园区的企业职工以及上海交通大学、华东师范大学、闵行辖区内高校的师生、校友，共同以奔跑的姿态串联起产学研融合的创新版图，见证科创高地的蓬勃脉动，  闵行区委副书记、代理区长吴强，上</t>
  </si>
  <si>
    <t>直播预告 | “多维协力 护航青春”公益讲座第三讲――AI对青少年心理影响：教师如何教？学生如何学？</t>
  </si>
  <si>
    <t>2025-05-26 14:33:38</t>
  </si>
  <si>
    <t>上海市心理学会青春期与性心理教育工作委员会，教育部全国学生心理健康工作咨询委员会华东片区，欢迎扫描海报二维码，预约观看“多维协力护航青春”线上系列公益讲座。</t>
  </si>
  <si>
    <t>交大华师双校联动，“大零号湾·无限跑“鸣枪起跑</t>
  </si>
  <si>
    <t>2025-05-25 12:33:10</t>
  </si>
  <si>
    <t>2025“大零号湾·无限π跑”活动在闵行校区霍英东体育中心鸣枪起跑，活动设置3公里健康跑与10公里精英跑双赛道后者首次实现上海交大闵行校区与华东师大闵行校区的双校联动，近3000名来自大零号湾园区的企业职工以及上海交通大学、华东师范大学、闵行辖区内等高校的师生、校友，共同以奔跑姿态串联起产学研融合的创新版图，见证科创高地的蓬勃脉动，参赛者们在奔跑中穿越百年学府梧桐大道、高校顶尖实验室集群，感受青</t>
  </si>
  <si>
    <t>交大华师双校联动，“大零号湾 · 无限 π 跑 “ 鸣枪起跑</t>
  </si>
  <si>
    <t>2025-05-25 12:29:35</t>
  </si>
  <si>
    <t>活动在上海交通大学闵行校区霍英东体育中心鸣枪起跑，公里精英跑双赛道后者首次实现上海交大闵行校区与华东师大闵行校区的 “ 双校联动 “，名来自大零号湾园区的企业职工以及上海交通大学、华东师范大学、闵行辖区内等高校的师生、校友，共同以奔跑姿态串联起产学研融合的创新版图，见证科创高地的蓬勃脉动，参赛者们在奔跑中穿越百年学府梧桐大道、高校顶尖实验室集群，感受青春叙事，洞见科技未来，元素拉满，除了定制了专</t>
  </si>
  <si>
    <t>【文体汇】交大华师双校联动,“大零号湾·无限π跑“鸣枪起跑</t>
  </si>
  <si>
    <t>2025-05-25 12:23:31</t>
  </si>
  <si>
    <t>祝越</t>
  </si>
  <si>
    <t>2025“大零号湾·无限π跑”活动在上海交通大学闵行校区霍英东体育中心鸣枪起跑，活动设置3公里健康跑与10公里精英跑双赛道后者首次实现上海交大闵行校区与华东师大闵行校区的双校联动，近3000名来自大零号湾园区的企业职工以及上海交通大学、华东师范大学、闵行辖区内等高校的师生、校友，共同以奔跑姿态串联起产学研融合的创新版图，见证科创高地的蓬勃脉动，参赛者们在奔跑中穿越百年学府梧桐大道、高校顶尖实验室</t>
  </si>
  <si>
    <t>交大华师双校联动，“大零号湾·无限π跑“鸣枪起跑</t>
  </si>
  <si>
    <t>2025-05-25 12:04:17</t>
  </si>
  <si>
    <t>2025-05-25 11:57:23</t>
  </si>
  <si>
    <t>交大华师双校联动，“大零号湾·无限π跑”鸣枪起跑</t>
  </si>
  <si>
    <t>2025-05-25 11:57:06</t>
  </si>
  <si>
    <t>2025-05-25 11:57:00</t>
  </si>
  <si>
    <t>2025-05-25 11:56:18</t>
  </si>
  <si>
    <t>此次活动由上海市体育局指导，中共上海市闵行区委员会、上海市闵行区人民政府、上海交通大学、华东师范大学主办，上海市闵行区体育局、上海大零号湾投资发展（集团）有限公司承办，上海戏剧学院、上海电机学院、上海电子信息职业技术学院、上海闵行职业技术学院、上海东海职业技术学院、上海市体育发展基金会支持。</t>
  </si>
  <si>
    <t>文汇报 祝越</t>
  </si>
  <si>
    <t>2025-05-25 11:56:00</t>
  </si>
  <si>
    <t>预告！奉贤区“15分钟就业服务圈”下周站点活动安排</t>
  </si>
  <si>
    <t>2025-05-24 17:30:37</t>
  </si>
  <si>
    <t>2025年5月26日14:00-15:00。</t>
  </si>
  <si>
    <t>2025-05-24 17:30:00</t>
  </si>
  <si>
    <t>为助力重点群体实现就业，奉贤区“15分钟就业服务圈”服务站点各类活动安排新鲜出炉，为你的就业创业之路暖心护航，点击下方链接查看“个人预约职业指导”操作指引，1.上海弘致贸易有限公司：电商运营3名，美工2名，主播3名，仓库管理员2名；，2.上海日发不锈钢制品有限公司：销售4名；，3.广州通和通信建设有限公司上海分公司：社区经理10名，商客经理10名，宽带装维5名，营业员3名；，2025届毕业生暨2</t>
  </si>
  <si>
    <t>上海电子信息职业技术学院：传统文化游园会赋能思政育人</t>
  </si>
  <si>
    <t>2025-05-23 18:22:14</t>
  </si>
  <si>
    <t>5月16日，上海电子信息职业技术学院第四届学生社团文化节传统文化游园会暨第二期创新创业集市热闹启幕，学生主持人唐晓薇说值得一提的是，今年的活动设计紧扣全方位育人目标： 非遗螺钿等特色项目融合思政教育、双创教育、美育与劳动教育；通过打卡积分兑换文创奖品机制，融入学习贯彻学校党代会精神内容和上海职业教育申本先锋队学校发展要点，激发师生深度参与，累计完成互动任务1000人次；活动还邀请非遗传承人与学生</t>
  </si>
  <si>
    <t>2025-05-23 18:13:21</t>
  </si>
  <si>
    <t>据介绍，作为校园文化品牌项目，本届社团文化节首次实现“三区联动”目标，办学专业与社团文化的碰撞，助力学校职业本科创建和高质量发展，学校团委紧密结合职业院校学生多元化、个性化发展需求，大力支持奔程无人机社、数字防线社、智能消防社、融媒体艺术制作中心等学术科技类社团的建设，活动中，学生社团负责人对社团专业背景、体验方式等进行了详细讲解，让广大学生在认知、体验的基础上，感受学校办学专业的高质量发展。</t>
  </si>
  <si>
    <t>2025-05-23 18:13:00</t>
  </si>
  <si>
    <t>5月16日，上海电子信息职业技术学院第四届学生社团文化节传统文化游园会暨第二期创新创业集市热闹启幕，学生主持人唐晓薇说从旁观者到参与者，我们真正成为了校园文化的主人。学院举办，主题为“青春为中国式现代化挺膺担当”，中华优秀传统文化互动区、创新创业集市、青春社彩展示区三大板块的60个特色摊位汇聚成一场集教育性、互动性、趣味性于一体的文化盛宴，吸引近千名师生参与，在传统文化互动区，汉服社、书法社等社</t>
  </si>
  <si>
    <t>2025-05-23 18:02:02</t>
  </si>
  <si>
    <t>上海电子信息职业技术学院:以中华优秀传统文化游园会赋能思政育人</t>
  </si>
  <si>
    <t>2025-05-23 11:14:04</t>
  </si>
  <si>
    <t>5月16日，上海电子信息职业技术学院团委、创新创业，学生主持人唐晓薇说从旁观者到参与者，我们真正成为了校园文化的主人。学院举办“青春为中国式现代化挺膺担当”第四届学生社团文化节传统文化游园会暨第二期创新创业集市，本次活动设置中华优秀传统文化互动区、创新创业集市、青春社彩展示区三大板块，60个特色摊位汇聚成一场集教育性、互动性、趣味性于一体的文化盛宴，吸引近千名师生参与，活动突破传统形式，以“游园</t>
  </si>
  <si>
    <t>上海仪电职工大模型技术创新应用技能竞赛成功完赛</t>
  </si>
  <si>
    <t>2025-05-22 17:22:00</t>
  </si>
  <si>
    <t>近日，由上海市仪表电子工会主办，云赛智联股份有限公司工会承办的仪电职工大模型技术创新应用技能竞赛，在上海电子信息职业技术学院普陀校区拉开帷幕，竞赛吸引了来自上海仪电各重点子公司、上海电子商会，本次竞赛聚焦智能客服与对话系统中智能体的应用开发，是大模型技术在垂直领域的典型创新应用，竞赛内容包含智能产品资料整理、智能客服大模型应用开发两个模块，主要考察选手对大模型智能体的熟练运用度，对实际需求的精准</t>
  </si>
  <si>
    <t>2025-05-22 15:43:48</t>
  </si>
  <si>
    <t>劳动报</t>
  </si>
  <si>
    <t>2025-05-22 15:33:20</t>
  </si>
  <si>
    <t>劳动观察</t>
  </si>
  <si>
    <t>李佳敏</t>
  </si>
  <si>
    <t>竞赛吸引了来自上海仪电各重点子公司、上海电子商会，会员单位的65名职工参加近日，由上海市仪表电子工会主办，云赛智联股份有限公司工会承办的仪电职工大模型技术创新应用技能竞赛，在上海电子信息职业技术学院普陀校区拉开帷幕，本次竞赛聚焦智能客服与对话系统中智能体的应用开发，是大模型技术在垂直领域的典型创新应用，竞赛内容包含智能产品资料整理、智能客服大模型应用开发两个模块，主要考察选手对大模型智能体的熟练</t>
  </si>
  <si>
    <t>2025-05-22 15:33:00</t>
  </si>
  <si>
    <t>竞赛吸引了来自上海仪电各重点子公司、上海电子商会，近日，由上海市仪表电子工会主办，云赛智联股份有限公司工会承办的仪电职工大模型技术创新应用技能竞赛，在上海电子信息职业技术学院普陀校区拉开帷幕，本次竞赛聚焦智能客服与对话系统中智能体的应用开发，是大模型技术在垂直领域的典型创新应用，竞赛内容包含智能产品资料整理、智能客服大模型应用开发两个模块，主要考察选手对大模型智能体的熟练运用度，对实际需求的精准</t>
  </si>
  <si>
    <t>劳动报网</t>
  </si>
  <si>
    <t>竞赛吸引了来自上海仪电各重点子公司、上海电子商会，会员单位的65名职工参加打开APP，查看更多精彩图片近日，由上海市仪表电子工会主办，云赛智联股份有限公司工会承办的仪电职工大模型技术创新应用技能竞赛，在上海电子信息职业技术学院普陀校区拉开帷幕，本次竞赛聚焦智能客服与对话系统中智能体的应用开发，是大模型技术在垂直领域的典型创新应用，竞赛内容包含智能产品资料整理、智能客服大模型应用开发两个模块，主要</t>
  </si>
  <si>
    <t>九派教育</t>
  </si>
  <si>
    <t>上海电子信息职业技术学院等申请起重机管道起吊装置及其控制方法专利，减小作业强度</t>
  </si>
  <si>
    <t>2025-05-22 14:13:27</t>
  </si>
  <si>
    <t>5月22日消息，国家知识产权局信息显示，上海电子信息职业技术学院;上海起重运输机械厂有限公司申请一项名为“起重机的管道起吊装置及其控制方法”的专利，公开号CN120004134A，申请日期为2025年04月，专利摘要显示，本申请公开了一种起重机的管道起吊装置及其控制方法，本申请通过设置相互分离的上部装置和下部装置，下部装置被钢丝绳通过吊钩系统连接吊起实现控制下部装置升降，所述上部装置包括固定架、</t>
  </si>
  <si>
    <t>2025-05-22 14:08:11</t>
  </si>
  <si>
    <t>2025-05-22 13:50:59</t>
  </si>
  <si>
    <t>2025-05-22 13:50:00</t>
  </si>
  <si>
    <t>上海市高校体育工作高质量发展推进会在我校召开</t>
  </si>
  <si>
    <t>2025-05-22 04:30:52</t>
  </si>
  <si>
    <t xml:space="preserve"> 来源：上海财经大学 许涛 IMG: 陈华 华东师范 IMG: 陆晔 IMG: 上海交通大学 IMG: 上海财经大学 IMG: 上海立信会计金融学院 IMG: 上海电子信息职业技术学院 IMG: 作 2025-2026学年 上海 上海市市级大学生体育赛事竞赛计划 高质 发布 IMG: 王浩</t>
  </si>
  <si>
    <t>2025-05-22 04:30:00</t>
  </si>
  <si>
    <t>5月20日下午，市教委在上海财经大学召开上海市高校体育工作高质量发展推进会，市教委副主任王浩，国家教育督学、市大学生体协会长薛明扬，中国学生体育联合会副主席、上海财经大学党委书记许涛等出席会议，近年来，国家先后出台了多项文件，促进学校体育发展与学生体质健康工作，上海市全面贯彻党和国家的教育方针，持续将学校体育工作作为落实立德树人根本任务的基础性工程来抓，高度重视学生体质健康问题，本次推进会以高校</t>
  </si>
  <si>
    <t>上海市高校体育工作高质量发展推进会举行</t>
  </si>
  <si>
    <t>2025-05-21 23:59:59</t>
  </si>
  <si>
    <t>5月20日，上海市高校体育工作高质量发展推进会在上海财经大学举行，市教委副主任王浩，国家督学、市大学生体协会长薛明扬，中国学生体育联合会副主席、上海财经大学党委书记许涛等出席会议，会上发布了2025-2026学年上海市大学生体育比赛赛历，  近年来，国家先后出台了多项文件，促进学校体育发展与学生体质健康工作，上海市全面贯彻党和国家的教育方针，持续将学校体育工作作为落实立德树人根本任务的基础性工程</t>
  </si>
  <si>
    <t>2025-05-21 22:31:03</t>
  </si>
  <si>
    <t>投稿邮箱：news@mail.shufe.edu.cn。</t>
  </si>
  <si>
    <t>2025-05-21 22:31:00</t>
  </si>
  <si>
    <t>上海市高校体育工作高质量发展推进会举行，将从五方面持续发力</t>
  </si>
  <si>
    <t>2025-05-21 10:32:00</t>
  </si>
  <si>
    <t>5月20日，上海市高校体育工作高质量发展推进会在上海财经大学举行，市教委副主任王浩，国家督学、市大学生体协会长薛明扬，中国学生体育联合会副主席、上海财经大学党委书记许涛等出席会议，会上发布了2025-2026学年上海市大学生体育比赛赛历，近年来，国家先后出台了多项文件，促进学校体育发展与学生体质健康工作，上海市全面贯彻党和国家的教育方针，持续将学校体育工作作为落实立德树人根本任务的基础性工程来抓</t>
  </si>
  <si>
    <t>2025-05-21 09:49:11</t>
  </si>
  <si>
    <t>2025-05-21 09:49:00</t>
  </si>
  <si>
    <t>5月20日，上海市高校体育工作高质量发展推进会在上海财经大学举行，市教委副主任王浩，国家督学、市大学生体协会长薛明扬，中国学生体育联合会副主席、上海财经大学党委书记许涛等出席会议，会上发布了2025-2026学年上海市大学生体育比赛赛历，打开APP，查看更多精彩图片近年来，国家先后出台了多项文件，促进学校体育发展与学生体质健康工作，上海市全面贯彻党和国家的教育方针，持续将学校体育工作作为落实立德</t>
  </si>
  <si>
    <t>2025-05-21 09:04:00</t>
  </si>
  <si>
    <t>招揽青年人才，这两区这样做……</t>
  </si>
  <si>
    <t>2025-05-20 21:03:32</t>
  </si>
  <si>
    <t>5月20日，奉贤、嘉定两区分别举行主题活动，发布与招贤引才有关的政策，管委会主任张玉婷在表示当前，菊园新区正以嘉定科创核为战略引领，全力以赴推动 高质量发展，为进一步拓宽引才渠道扩大招才引智的朋友圈，加大引才力度，共同解决社区治理中的难点问题愿意来、留得下、留得住，5·20贤才日”启幕式暨奉贤区第三届“才聚贤城·创享未来”全球创新创业大赛闭幕式举办，记者在现场了解到，奉贤面向青年大学生等群体推出</t>
  </si>
  <si>
    <t>【通知】关于公布2025年度上海市知识产权信息公共服务网点认定名单的通知</t>
  </si>
  <si>
    <t>2025-05-20 18:04:00</t>
  </si>
  <si>
    <t>欢迎转载，转载请注明出处，非经授权不得擅改文章内容，关于公布2025年度上海市知识产权信息公共服务网点认定名单的通知，为统筹布局全市知识产权信息公共服务网点，进一步完善知识产权公共服务综合体系，我局开展了2025年度上海市知识产权信息公共服务网点认定工作，经自主申报、专家评审、局长办公会审议及公示等程序，新认定中科院上海光学精密机械研究所、上海市知识产权服务行业协会、上海技术交易所有限公司、上海</t>
  </si>
  <si>
    <t>体商融合，激活商圈“流量密码” 2025“悦动贤城”飞镖公开赛顺利完赛</t>
  </si>
  <si>
    <t>2025-05-19 19:32:00</t>
  </si>
  <si>
    <t>中国新闻网上海</t>
  </si>
  <si>
    <t>5月18日下午，由奉贤区体育局主办，奉贤区社会体育服务管理中心、毅然体育，有限公司承办的2025“悦动贤城”奉贤区全民健身运动“荟”飞镖公开赛在龙湖上海奉贤天街圆满完赛，本次比赛得到龙湖上海奉贤天街的大力支持，赛事通过“体育赛事+商圈消费”体商融合的联动模式，吸引了近300人次积极参与，　　本次飞镖公开赛为高分赛，设个人组、团体组以及现场趣味挑战组，比赛现场，百余名飞镖参赛选手齐聚一堂，个个精神</t>
  </si>
  <si>
    <t>旅游休闲街区文旅融合的“四个转型”</t>
  </si>
  <si>
    <t>2025-05-19 19:09:50</t>
  </si>
  <si>
    <t>中国旅游报</t>
  </si>
  <si>
    <t>（作者：宋长海 楼嘉军 单位：上海电子信息职业技术学院，华东师范大学经济与管理学院；编辑：宋雨秋）</t>
  </si>
  <si>
    <t>首届中国低空经济产业发展与产教融合（上海·临港）论坛成功举办</t>
  </si>
  <si>
    <t>2025-05-19 18:19:11</t>
  </si>
  <si>
    <t>2025年5月15日至16日，首届中国低空经济产业发展与产教融合，自由贸易试验区临港新片区管理委员会、中国工程咨询协会低空经济专委会指导，上海电力大学、上海电子信息职业技术学院、上海临港产教融合促进中心联合主办，上海天翼科航空科技服务有限公司负责承办，以，“聚焦上海，共研低空生态链人才培养；聚焦低空经济，共建华东低空经济产教融合共同体”，为主题，汇聚了来自低空经济产业界、教育界、科研机构以及政府</t>
  </si>
  <si>
    <t>2025-05-19 17:50:14</t>
  </si>
  <si>
    <t>2025-05-19 17:48:00</t>
  </si>
  <si>
    <t>2025-05-19 17:44:00</t>
  </si>
  <si>
    <t>2025-05-19 17:35:10</t>
  </si>
  <si>
    <t>环球网资讯</t>
  </si>
  <si>
    <t>来源：环球网近日，首届中国低空经济产业发展与产教融合，自由贸易试验区临港新片区管理委员会、中国工程咨询协会低空经济专委会指导，上海电力大学、上海电子信息职业技术学院、上海临港产教融合促进中心联合主办，上海天翼科航空科技服务有限公司承办，论坛聚焦“聚焦上海，共研低空生态链人才培养；聚焦低空经济，共建华东低空经济产教融合共同体”主题，吸引了低空经济产业界、教育界、科研机构及政府部门众多专家、学者和企</t>
  </si>
  <si>
    <t>2025-05-19 16:40:49</t>
  </si>
  <si>
    <t>来源：中国日报网政/磨/引/领校/企/价/同，华东无人机基地隶属于上海湾区高新技术产业开发区，2003年9月经上海市人民改府批准正式成立，规划面积58平方公里，是上海市政府重点支持发展的市。</t>
  </si>
  <si>
    <t>2025-05-19 16:40:00</t>
  </si>
  <si>
    <t>2025-05-19 14:34:07</t>
  </si>
  <si>
    <t>自由贸易试验区临港新片区管理委员会、中国工程咨询协会低空经济专委会指导，上海电力大学、上海电子信息职业技术学院、上海临港产教融合促进中心联合主办，上海天翼科航空科技服务有限公司承办，论坛聚焦“聚焦上海，共研低空生态链人才培养；聚焦低空经济，共建华东低空经济产教融合共同体”主题，吸引了低空经济产业界、教育界、科研机构及政府部门众多专家、学者和企业代表参与，共探低空经济发展路径，为产业高质量发展注入</t>
  </si>
  <si>
    <t>赋能产教融合新生态：首届中国低空经济产业发展与产教融合（上海·临港）论坛圆满落幕</t>
  </si>
  <si>
    <t>2025-05-19 10:29:27</t>
  </si>
  <si>
    <t>5月15日，首届中国低空经济产业发展与产教融合，自由贸易试验区临港新片区管理委员会、中国工程咨询协会低空经济专委会指导，上海电力大学、上海电子信息职业技术学院、上海临港产教融合促进中心联合主办，上海天翼科航空科技服务有限公司承办，以，“聚焦上海，共研低空生态链人才培养；聚焦低空经济，共建华东低空经济产教融合共同体”，为主题，汇聚了低空经济产业界、教育界、科研机构以及政府部门的众多专家、学者和企业</t>
  </si>
  <si>
    <t>高职院校排名出炉，上海多校跻身全国前列</t>
  </si>
  <si>
    <t>2025-05-19 09:08:16</t>
  </si>
  <si>
    <t>5月15日上午，高等教育专业评价机构披露“2025软科中国高职院校排名”，对我国1300多所高等职业院校的办学水平进行分层分类评价，其中首次发布本科层次的“职业技术大学排名”，实现了对所有层次和类型的高等职业院校全面评价，上海市教委负责人透露下一步，上海要继续围绕健全现代职业教育体系、深化产教融合校企合作、强化职业教育治理能力，不断增强职业教育适应性，推动职业教育有效赋能新质生产力，　　记者了解</t>
  </si>
  <si>
    <t>【资讯】上海市工业技术学校——开启工业精英之旅</t>
  </si>
  <si>
    <t>2025-05-18 12:30:00</t>
  </si>
  <si>
    <t>上海市工业技术学校学校成立于1963年，是一所拥有60余年办学历史的国家重点中专学校，隶属上海市教育委员会，现由上海第二工业大学托管，学校坐落于上海市徐汇区喜泰支路8号，环境优美，设施完备，多年来，学校深耕职教沃土，注重内涵发展，始终秉持“厚德精技”的校训，浇灌“匠心文化、龙腾精神”之内核，致力于培养适应现代工业发展需求的高素质技术技能人才，让学生通过技术实现人生价值，同时为上海乃至全国的工业发</t>
  </si>
  <si>
    <t>2025-05-16 17:27:05</t>
  </si>
  <si>
    <t>徐红清2025年5月15日至16日，首届中国低空经济产业发展与产教融合，主办方表示两大平台的正式落地，标志着低空经济领域在理论研究与实践指导方面迈出重要一步，是推动行业规范化和可持续发展的关键举措，主办方表示本次论坛为低空经济领域的从业者打造了一个交流合作的优质平台，深度探讨了低空经济的发展现状、面临挑战及未来方向，论坛以“聚焦上海，共研低空生态链人才培养；聚焦低空经济，共建华东低空经济产教融合</t>
  </si>
  <si>
    <t>2025-05-16 16:37:51</t>
  </si>
  <si>
    <t>2025-05-16 14:10:00</t>
  </si>
  <si>
    <t>2025-05-16 13:54:54</t>
  </si>
  <si>
    <t>新民周刊</t>
  </si>
  <si>
    <t>　　2025年5月15日至16日，首届中国低空经济产业发展与产教融合，自由贸易试验区临港新片区管理委员会、中国工程咨询协会低空经济专委会指导，上海电力大学、上海电子信息职业技术学院、上海临港产教融合促进中心联合主办，上海天翼科航空科技服务有限公司负责承办，以，“聚焦上海，共研低空生态链人才培养；聚焦低空经济，共建华东低空经济产教融合共同体”，为主题，汇聚了来自低空经济产业界、教育界、科研机构以及</t>
  </si>
  <si>
    <t>2025-05-16 13:08:00</t>
  </si>
  <si>
    <t>周刊生活</t>
  </si>
  <si>
    <t>2025-05-16 12:20:00</t>
  </si>
  <si>
    <t>2025软科中国高职院校排名发布，上海19所院校上榜</t>
  </si>
  <si>
    <t>2025-05-16 09:46:01</t>
  </si>
  <si>
    <t>新民晚报 王蔚</t>
  </si>
  <si>
    <t>    高等教育专业评价机构软科发布“2025软科中国高职院校排名”，本年度该排名做了重要扩展，首次发布本科层次的“职业技术大学排名”，与既有的专科层次的“高职专科院校排名”一起，实现了对全国1300多个所有层次和类型的高等职业院校的全面评价，　　在今年的榜单中，软科对于本科层次的职业技术大学，设置了公办职业技术大学排名，两个子榜单；对于高职专科院校，细分为9个类型的公办高职专科院校排名和1个民</t>
  </si>
  <si>
    <t>【资讯】2025年上海市中等职业学校中本中高职贯通、五年一贯制及中职招生咨询会即将举办</t>
  </si>
  <si>
    <t>2025-05-15 19:31:10</t>
  </si>
  <si>
    <t>百度新闻</t>
  </si>
  <si>
    <t>1本市近40所中职校于2025年5月24日，上午9:00-下午2:00在上海市商业学校，举办“2025年上海市中等职业学校中本中高职贯通、五年一贯制及中职招生咨询会”，为广大初三毕业生，届时，会场将免费发放解读报考政策的《升学导航》一书，近年来本市初三毕业生报考中本贯通、中高职贯通、五年一贯制和中职的热情逐渐升温，不少学生和家长都考虑到孩子今后的就业和自身职业素质技能发展的需求进行了提前分流，中</t>
  </si>
  <si>
    <t>2025-05-15 19:30:54</t>
  </si>
  <si>
    <t>上海帅范大学附属杨浦现代职业学校上海工商信息学校。</t>
  </si>
  <si>
    <t>2025-05-15 19:30:00</t>
  </si>
  <si>
    <t>上午9:00-下午2:00在上海市商业学校，举办“2025年上海市中等职业学校中本中高职贯通、五年一贯制及中职招生咨询会”，为广大初三毕业生，届时，会场将免费发放解读报考政策的《升学导航》一书，近年来本市初三毕业生报考中本贯通、中高职贯通、五年一贯制和中职的热情逐渐升温，不少学生和家长都考虑到孩子今后的就业和自身职业素质技能发展的需求进行了提前分流，中本、中高职、五年一贯制及中职毕业生就业率呈稳</t>
  </si>
  <si>
    <t>2025-05-15 10:49:03</t>
  </si>
  <si>
    <t>今天上午，高等教育专业评价机构软科发布“2025软科中国高职院校排名”，本年度该排名做了重要扩展，首次发布本科层次的“职业技术大学排名”，与既有的专科层次的“高职专科院校排名”一起，实现了对全国1300多个所有层次和类型的高等职业院校的全面评价，在今年的榜单中，软科对于本科层次的职业技术大学，设置了公办职业技术大学排名，两个子榜单；对于高职专科院校，细分为9个类型的公办高职专科院校排名和1个民办</t>
  </si>
  <si>
    <t>【菁菁教苑】本科层次职业大学排名首发,全国分类排名上海6校跻身50强,民办三甲有一校</t>
  </si>
  <si>
    <t>2025-05-15 10:48:56</t>
  </si>
  <si>
    <t>5月15日上午，高等教育专业评价机构披露“2025软科中国高职院校排名”，对我国1300多所高等职业院校的办学水平进行分层分类评价，其中首次发布本科层次的“职业技术大学排名”，实现了对所有层次和类型的高等职业院校全面评价，上海市教委负责人透露下一步，上海要继续围绕健全现代职业教育体系、深化产教融合校企合作、强化职业教育治理能力，不断增强职业教育适应性，推动职业教育有效赋能新质生产力，记者了解到，</t>
  </si>
  <si>
    <t>2025-05-15 10:11:00</t>
  </si>
  <si>
    <t>2025-05-15 10:10:12</t>
  </si>
  <si>
    <t>2025-05-15 10:06:14</t>
  </si>
  <si>
    <t>2025-05-15 10:06:04</t>
  </si>
  <si>
    <t>2025-05-15 10:05:59</t>
  </si>
  <si>
    <t>*排名或排名区间相同的院校按综合、理工、师范、农林、医药、财经、政法、体育、文艺的顺序排列。</t>
  </si>
  <si>
    <t>2025-05-15 10:05:25</t>
  </si>
  <si>
    <t>2025-05-15 10:05:00</t>
  </si>
  <si>
    <t>2025-05-15 09:25:09</t>
  </si>
  <si>
    <t>5月15日上午，高等教育专业评价机构披露“2025软科中国高职院校排名”，对我国1300多所高等职业院校的办学水平进行分层分类评价，其中首次发布本科层次的“职业技术大学排名”，实现了对所有层次和类型的高等职业院校全面评价，上海市教委负责人透露下一步，上海要继续围绕健全现代职业教育体系、深化产教融合校企合作、强化职业教育治理能力，不断增强职业教育适应性，推动职业教育有效赋能新质生产力，解放日报·上</t>
  </si>
  <si>
    <t>本科层次职业大学排名首发，全国分类排名上海6校跻身50强，民办三甲有一校</t>
  </si>
  <si>
    <t>2025-05-15 09:24:00</t>
  </si>
  <si>
    <t>2025-05-15 09:01:16</t>
  </si>
  <si>
    <t>2025-05-15 09:01:10</t>
  </si>
  <si>
    <t>高职院校排名来了！上海19所院校上榜，民办高校表现亮眼</t>
  </si>
  <si>
    <t>2025-05-15 09:01:08</t>
  </si>
  <si>
    <t>2025-05-15 09:00:41</t>
  </si>
  <si>
    <t>题图来源：解放·上观AI制图O上观·AI图，*排名或排名区间相同的院校按综合、理工、师范、农林、医药、财经、政法、体育、文艺的顺序排列。</t>
  </si>
  <si>
    <t>2025-05-15 09:00:06</t>
  </si>
  <si>
    <t>2025-05-15 09:00:00</t>
  </si>
  <si>
    <t>【长三角高职院校应用技术协同创新联盟2025年研讨会在肥成功召开】为推动长三角区域科技创新与产业创新跨区域协同，更好地发挥联盟桥梁纽带作用，促进高职院校服务与引领区域经济社会发展。近日，以“力推AI深</t>
  </si>
  <si>
    <t>2025-05-14 18:29:27</t>
  </si>
  <si>
    <t>合肥日报</t>
  </si>
  <si>
    <t>长三角高职院校应用技术协同创新联盟2025年研讨会在肥成功召开为推动长三角区域科技创新与产业创新跨区域协同，更好地发挥联盟桥梁纽带作用，促进高职院校服务与引领区域经济社会发展，安徽职业技术学院相关负责人表示安徽职业技术学院愿与长三角兄弟院校及行业、企业进一步加强合作交流、深化互融互促，充分发挥自身的专业优势、人才优势和安徽的产业优势和科技创新优势，为区域经济社会高质量发展贡献更大的安职力量，近日</t>
  </si>
  <si>
    <t>安徽广德：厚植PCB产业沃土 打造集聚新高地</t>
  </si>
  <si>
    <t>2025-05-14 12:39:37</t>
  </si>
  <si>
    <t>安徽财经网</t>
  </si>
  <si>
    <t>8月21日，赛迪顾问发布《2024年中国新型PCB产业发展报告及十大集聚区》，广德市位居全国新型PCB产业十大集聚区之一，等荣誉称号中国电子电路行业绿色产业基地，等荣誉称号国家级中小企业特色产业集群，等荣誉称号安徽省电子信息特色产业基地，等荣誉称号安徽省中小企业特色产业集群，众泰科技总经理刘云生表示我们选择广德经济开发区，最吸引我的就是污水、固废能集中处理，还有整个配套设施的完整性。众泰科技总经</t>
  </si>
  <si>
    <t>AI含量非常高，2025上海教育博览会将于本周五开幕</t>
  </si>
  <si>
    <t>2025-05-14 09:57:14</t>
  </si>
  <si>
    <t>以人工智能为引领，高质量推进教育强国建设的最，8大展区近一百三十家教育参展单位齐聚现场，，月球基地探宝一A/音与机器人交互科普体验45月16日，未来探路者：CCTV管道检测机器人互动体验。</t>
  </si>
  <si>
    <t>长三角高职院校应用技术协同创新联盟2025年研讨会在合肥成功召开</t>
  </si>
  <si>
    <t>2025-05-13 20:10:00</t>
  </si>
  <si>
    <t>合肥在线</t>
  </si>
  <si>
    <t>为推动长三角区域科技创新与产业创新跨区域协同，更好地发挥联盟桥梁纽带作用，促进高职院校服务与引领区域经济社会发展，安徽职业技术学院相关负责人表示安徽职业技术学院愿与长三角兄弟院校及行业、企业进一步加强合作交流、深化互融互促，充分发挥自身的专业优势、人才优势和安徽的产业优势和科技创新优势，为区域经济社会高质量发展贡献更大的安职力量，近日，以“力推AI深度渗透·力促技术创用并举”为主题的长三角高职院</t>
  </si>
  <si>
    <t>2025-05-13 20:09:00</t>
  </si>
  <si>
    <t>2025-05-13 20:07:00</t>
  </si>
  <si>
    <t>【长三角高职院校应用技术协同创新联盟2025年研讨会在肥成功召开】 为推动长三角区域科技创新与产业创新跨区域协同，更好地发挥联盟桥梁纽带作用，促进高职院校服务与引领区域经济社会发展。近日，以“力推AI</t>
  </si>
  <si>
    <t>2025-05-13 18:23:34</t>
  </si>
  <si>
    <t>长三角高职院校应用技术协同创新联盟2025年研讨会在肥成功召开，安徽职业技术学院相关负责人表示安徽职业技术学院愿与长三角兄弟院校及行业、企业进一步加强合作交流、深化互融互促，充分发挥自身的专业优势、人才优势和安徽的产业优势和科技创新优势，为区域经济社会高质量发展贡献更大的安职力量，为推动长三角区域科技创新与产业创新跨区域协同，更好地发挥联盟桥梁纽带作用，促进高职院校服务与引领区域经济社会发展，近</t>
  </si>
  <si>
    <t>海归学霸扎根上海奉贤，打造国际巨头认证的“工厂大脑”</t>
  </si>
  <si>
    <t>2025-05-13 16:15:12</t>
  </si>
  <si>
    <t>上海市奉贤区以“全周期关怀服务”为引领，构建“敢投、敢闯、敢干”的创业生态，打造更加开放、包容、高效的营商环境，上海青年科技创业十大先锋等称号上海科技青年35人引领计划，作为人形机器人产业发展顾问龚超慧带领团队与西渡街道合作，共同布局产业发展、设计赛道、创新应用场景，并引入产业方定义潜在应用场景，与产业链上游企业共创未来，2024年全区民营企业达57.8万余户，在区内企业总量中占比为89.3%，</t>
  </si>
  <si>
    <t>2025-05-13 16:14:00</t>
  </si>
  <si>
    <t>2025-05-13 16:13:26</t>
  </si>
  <si>
    <t>2025-05-13 16:13:00</t>
  </si>
  <si>
    <t>宾通智能：海归学霸扎根奉贤，打造国际巨头认证的“工厂大脑”｜稳增长 开新局</t>
  </si>
  <si>
    <t>2025-05-12 13:22:27</t>
  </si>
  <si>
    <t>严沁、陈嘉安</t>
  </si>
  <si>
    <t>习近平总书记在民营企业座谈会上强调，新时代新征程民营经济发展前景广阔、大有可为，广大民营企业和民营企业家大显身手正当其时，上海青年科技创业十大先锋等称号上海科技青年35人引领计划，作为人形机器人产业发展顾问龚超慧带领团队与西渡街道合作，共同布局产业发展、设计赛道、创新应用场景，并引入产业方定义潜在应用场景，与产业链上游企业共创未来，奉贤区以“全周期关怀服务”为引领，构建“敢投、敢闯、敢干”的创业</t>
  </si>
  <si>
    <t>[中职]上海市材料工程学校:2025年度上海市院校创业指导站走访交流会在学校举行</t>
  </si>
  <si>
    <t>2025-05-08 17:23:30</t>
  </si>
  <si>
    <t>4月29日下午，由上海市就业促进中心、上海市学生事务中心组织的2025年度上海市院校创业指导站走访交流会在上海市材料工程学校清竹楼会议中心举行，学校市场部全体工作人员及学生代表参加本次交流会，交流会伊始，校党委书记金怡对各位领导和专家的莅临指导表示热烈欢迎，对各部门长期以来对学校工作的支持表示衷心感谢，市场部主任萧央从双创教育工作理念、指导站组织架构、学校对双创教育的政策保障、投入经费使用的情况</t>
  </si>
  <si>
    <t>搭建育人实践平台 培养“美丽职业人”——上海市第二轻工业学校简介</t>
  </si>
  <si>
    <t>2025-05-07 11:06:33</t>
  </si>
  <si>
    <t>新民网</t>
  </si>
  <si>
    <t>学校创建于1982年，是上海市一所公办全日制中等职业学校，托管于上海第二工业大学，现为国家级重点中等职业学校、上海市百强中专之一、上海市中等职业教育改革发展特色示范学校、上海市家庭教育示范校、上海市人工智能教育实验校、上海市中小学党组织攀登计划示范校、上海市文明单位，、改革开放四十周年美容美发行业名校、中国餐饮行业培养人才突出贡献单位，学校地处浦东新区陆家嘴金融贸易区，地理位置优越，校园内绿树成</t>
  </si>
  <si>
    <t>2025年奉贤区职业技能竞赛火热报名！等你来赛→</t>
  </si>
  <si>
    <t>2025-05-01 11:27:08</t>
  </si>
  <si>
    <t>根据《关于组织开展2025年市级行业性、区域性职业技能竞赛计划申报工作的通知》，的要求，为加快推进奉贤区技能人才队伍建设，培养选拔适合本区经济社会发展和产业需求的岗位能手、技能工匠，拟组织开展2025年上海市奉贤区职业技能大赛，一、竞赛项目二、报名条件三、报名方式符合条件的选手可至各相关培训单位报名，并提交身份证复印件、技能等级证书、学历证明、相关从业证明等材料，四、竞赛咨询竞赛相关问题可向竞赛</t>
  </si>
  <si>
    <t>2025-04-30 20:41:00</t>
  </si>
  <si>
    <t>根据《关于组织开展2025年市级行业性、区域性职业技能竞赛计划申报工作的通知》，的要求，为加快推进奉贤区技能人才队伍建设，培养选拔适合本区经济社会发展和产业需求的岗位能手、技能工匠，拟组织开展2025年上海市奉贤区职业技能大赛，符合条件的选手可至各相关培训单位报名，并提交身份证复印件、技能等级证书、学历证明、相关从业证明等材料，联系方式：奉贤区人力资源和社会保障局就业培训科，电话：6719958</t>
  </si>
  <si>
    <t>2025-04-30 20:03:20</t>
  </si>
  <si>
    <t>上观号作者：上海奉贤2025年奉贤区职业技能大赛竞赛项目，2、取得本职业或相关职业四级/中级工职业资格，证书后，累计从事本职业或相关职业工作满4年，证书，并取得高等职业学校、专科及以上普通高等学校本，6、取得经评估论证的高等职业学校、专科及以上普通高等学。</t>
  </si>
  <si>
    <t>2025-04-30 20:03:00</t>
  </si>
  <si>
    <t>57所中职校自主招生章程公布！中本贯通等如何招？附中职校招生全名单</t>
  </si>
  <si>
    <t>2025-04-30 19:27:55</t>
  </si>
  <si>
    <t>2025年上海市中等职业学校自主招生章程公布，今年本市共有57所中等职业学校进行自主招生工作，需面试或测试，以及需要市级优秀体育学生资格确认的专业，的考生和家长赶紧关注！2025年上海市中等职业学校自主招生章程具体招生章程可扫描下方二维码查看↓2025年上海市中职校招生学校名单公示根据《上海市教育委员会关于2025年本市高中阶段学校招生工作的若干意见》，招生和本市全日制普通中等职业学校自主招收随</t>
  </si>
  <si>
    <t>“沪启职教共携手 产教融合谱新篇”调研交流会举行</t>
  </si>
  <si>
    <t>2025-04-30 15:02:19</t>
  </si>
  <si>
    <t>产教融合谱新篇”调研交流会在江苏省启东中等专业学校正源楼四楼会议室举行，陆向前指出此次交流是落实长三角区域一体化发展战略、以职教赋能区域经济高质量发展的关键实践，期望双方以务实高效的作风推进合作任务落地，将交流成果切实转化为推动区域职业教育发展的强劲动力，启东市教育体育局副局长陆向前出席会议并讲话，上海电子信息职业技术学院、江苏省启东中等专业学校参加交流活动，会上，江苏省启东中等专业学校党委书记</t>
  </si>
  <si>
    <t>中招｜2025年上海市中职校招生学校名单公布</t>
  </si>
  <si>
    <t>2025-04-30 13:33:00</t>
  </si>
  <si>
    <t>day时间根据上海市教委最新通知修改，同学们中考加油！2025年上海市中职校招生学校名单公布2025年上海市中职校招生学校名单公布，详见中职校招生学校，本周隔空喊话bot二模时间到！这周大部分区的同学都将面临二模考，考前考后发挥如何呢，是信心满满却被教研员狠狠“教育”，还是听天由命结果超常发挥，又或是……来吧，说出你与二模的“纠葛”！let's，小编先答：虽然中考二模离我非常遥远了，但依稀记得当</t>
  </si>
  <si>
    <t>2025-04-30 13:32:48</t>
  </si>
  <si>
    <t>注：1.上海市体育运动学校，上海音乐学院附属中等音乐专科学校，上海戏剧学院附属舞蹈学校、上海体育大学附属竞技，体育学校、上海戏剧学院附属戏曲学校，上海市第二体育运动学校，上海市马戏学校7所学校为具有学历教育招生资质的，单独艺体类中职校，其相关招生信息以学校公布招生章程为准，3.以上招生学校不含教育行政部门未各案的学校名单，新招生学校名单待教育行政部门备案后将及时公布，。</t>
  </si>
  <si>
    <t>2025-04-30 13:32:00</t>
  </si>
  <si>
    <t>时间根据上海市教委最新通知修改，同学们中考加油！，2025年上海市中职校招生学校名单公布，详见，虽然中考二模离我非常遥远了，但依稀记得当时班里同学纷纷用二模成绩投递自招的时候，欢迎大家点击我被“二模”硬控的一个礼拜或扫码提问箱或在评论区留言～，《上海中学生报·中招周刊》与上海市教育考试院合作，精准试卷解析权威中招政策及时模考信息历年数据查询，主流国际教育品质国际学校在线课程辅导学校特色介绍，如果</t>
  </si>
  <si>
    <t>2025-04-30 12:38:00</t>
  </si>
  <si>
    <t>2025年上海市中等职业学校自主招生章程公布，今年本市共有57所中等职业学校进行自主招生工作，想要报考中本教育贯通培养模式、五年一贯制培养模式和中高职教育贯通培养模式、中职校提前招生的考生和家长赶紧关注！2025年上海市中等职业学校自主招生章程具体招生章程可扫描下方二维码查看↓，招生和本市全日制普通中等职业学校自主招收随迁子女招生学校名单进行公示 2025年上海市中等职业学校自主招收随迁子女章程</t>
  </si>
  <si>
    <t>2025年上海市中等职业学校自主招生章程公布，今年本市共有57所中等职业学校进行自主招生工作，想要报考中本教育贯通培养模式、五年一贯制培养模式和中高职教育贯通培养模式、中职校提前招生的考生和家长赶紧关注！，https://www.shmeea.edu.cn/download/20250430/88.pdf，根据《上海市教育委员会关于2025年本市高中阶段学校招生工作的若干意见》，招生和本市全日制</t>
  </si>
  <si>
    <t>2025-04-30 12:17:38</t>
  </si>
  <si>
    <t>2025年上海市中等职业学校自主招生章程公布，今年本市共有57所中等职业学校进行自主招生工作，想要报考中本教育贯通培养模式、五年一贯制培养模式和中高职教育贯通培养模式、中职校提前招生的考生和家长赶紧关注！2025年上海市中等职业学校自主招生章程具体招生章程可扫描下方二维码查看↓https://www.shmeea.edu.cn/download/20250430/88.pdf2025年上海市中职</t>
  </si>
  <si>
    <t>多措并举提升法治文化传播力</t>
  </si>
  <si>
    <t>2025-04-25 10:38:00</t>
  </si>
  <si>
    <t>在数字化浪潮重构传播格局的当下，法治文化传播正经历着从物理空间向虚拟场域的战略转移，技术赋权带来的传播主体多元化、信息生产即时化、内容形态碎片化等特征，在一定程度上消解了传统传播模式的权威性，为法治文化深度嵌入社会认知结构提供了全新可能，新媒体视域下，法治文化传播应牢牢把握执法司法规律、新闻传播规律、互联网发展规律和受众信息需求规律，在四者间寻找有效结合点，积极探索“法治宣传”与“媒体融合”的新</t>
  </si>
  <si>
    <t>2025-04-25 07:02:00</t>
  </si>
  <si>
    <t>新华日报</t>
  </si>
  <si>
    <t>陈育君在数字化浪潮重构传播格局的当下，法治文化传播正经历着从物理空间向虚拟场域的战略转移，技术赋权带来的传播主体多元化、信息生产即时化、内容形态碎片化等特征，在一定程度上消解了传统传播模式的权威性，为法治文化深度嵌入社会认知结构提供了全新可能，新媒体视域下，法治文化传播应牢牢把握执法司法规律、新闻传播规律、互联网发展规律和受众信息需求规律，在四者间寻找有效结合点，积极探索“法治宣传”与“媒体融合</t>
  </si>
  <si>
    <t>2025-04-25 05:02:44</t>
  </si>
  <si>
    <t>□陈育君在数字化浪潮重构传播格局的当下，法治文化传播正经历着从物理空间向虚拟场域的战略转移，技术赋权带来的传播主体多元化、信息生产即时化、内容形态碎片化等特征，在一定程度上消解了传统传播模式的权威性，为法治文化深度嵌入社会认知结构提供了全新可能，新媒体视域下，法治文化传播应牢牢把握执法司法规律、新闻传播规律、互联网发展规律和受众信息需求规律，在四者间寻找有效结合点，积极探索“法治宣传”与“媒体融</t>
  </si>
  <si>
    <t>2025-04-25 00:00:00</t>
  </si>
  <si>
    <t>2025年上海市学生职业体验活动 （高职院校）报名已开始！拼手速抢体验名额——</t>
  </si>
  <si>
    <t>2025-04-23 18:31:00</t>
  </si>
  <si>
    <t>全市24所高职院校将开放30个项目，等你来体验！，或进入“上海高职”公众号，点击子菜单“精彩活动”——“职业体验日”，进入报名系统，选择“个人报名”或“团队报名”，报名结束后，如想查看已报名信息，进入主页面点击右上角“我的报名”即可查看，随着电子竞技被纳入亚运会等国际赛事，电竞产业逐步走向规范化、职业化，为引导青少年正确认知电竞行业，挖掘兴趣潜能，本项目以“主播体验”为载体，通过真实场景实践，帮</t>
  </si>
  <si>
    <t>承办单位：上海市教育委员会教育技术装备中心。</t>
  </si>
  <si>
    <t>随幻产教融合创新案例丨宁乡职业中专虚拟仿真实训基地建设全解析</t>
  </si>
  <si>
    <t>2025-04-22 09:34:35</t>
  </si>
  <si>
    <t> 　　职业教育数字化转型的浪潮中，虚拟仿真实训基地凭借其低成本、高沉浸的优势，成为解决传统实训“三高三难”问题的关键，随幻智能科技与宁乡职业中专学校携手打造的虚拟仿真实训基地项目，不仅成为中部地区的标杆案例，更为同类院校提供了可复制的经验，助力院校提高专业实训教学质量，更好对接企业用人需求，　　项目启动前，校方组织专业团队两次赴上海考察，重点走访了随幻科技宝山棚、上海电子信息职业技术学院、上海新</t>
  </si>
  <si>
    <t>2025年上海市学生职业体验活动 （高职院校）今天19点报名启动</t>
  </si>
  <si>
    <t>2025-04-22 00:02:17</t>
  </si>
  <si>
    <t>2025-04-22 00:02:00</t>
  </si>
  <si>
    <t>2025-04-21 17:44:10</t>
  </si>
  <si>
    <t>职业教育数字化转型的浪潮中，虚拟仿真实训基地凭借其低成本、高沉浸的优势，成为解决传统实训“三高三难”问题的关键，随幻智能科技与宁乡职业中专学校携手打造的虚拟仿真实训基地项目，不仅成为中部地区的标杆案例，更为同类院校提供了可复制的经验，助力院校提高专业实训教学质量，更好对接企业用人需求，精准匹配预算及教学需求项目启动前，校方组织专业团队两次赴上海考察，重点走访了随幻科技宝山棚、上海电子信息职业技术</t>
  </si>
  <si>
    <t>2025-04-21 17:15:07</t>
  </si>
  <si>
    <t>环球企业网</t>
  </si>
  <si>
    <t>职业教育数字化转型的浪潮中，虚拟仿真实训基地凭借其低成本、高沉浸的优势，成为解决传统实训“三高三难”问题的关键，随幻智能科技与宁乡职业中专学校携手打造的虚拟仿真实训基地项目，不仅成为中部地区的标杆案例，更为同类院校提供了可复制的经验，助力院校提高专业实训教学质量，更好对接企业用人需求，项目启动前，校方组织专业团队两次赴上海考察，重点走访了随幻科技宝山棚、上海电子信息职业技术学院、上海新闻出版技术</t>
  </si>
  <si>
    <t>2025-04-21 17:13:08</t>
  </si>
  <si>
    <t>2025-04-21 16:54:00</t>
  </si>
  <si>
    <t>中国城市网</t>
  </si>
  <si>
    <t>职业教育数字化转型的浪潮中，虚拟仿真实训基地凭借其低成本、高沉浸的优势，成为解决传统实训“三高三难”问题的关键，随幻智能科技与宁乡职业中专学校携手打造的虚拟仿真实训基地项目，不仅成为中部地区的标杆案例，更为同类院校提供了可复制的经验，助力院校提高专业实训教学质量，更好对接企业用人需求，从需求调研出发精准匹配预算及教学需求项目启动前，校方组织专业团队两次赴上海考察，重点走访了随幻科技宝山棚、上海电</t>
  </si>
  <si>
    <t>深圳导报</t>
  </si>
  <si>
    <t>职业教育数字化转型的浪潮中，虚拟仿真实训基地凭借其低成本、高沉浸的优势，成为解决传统实训“三高三难”问题的关键，随幻智能科技与宁乡职业中专学校携手打造的虚拟仿真实训基地项目，不仅成为中部地区的标杆案例，更为同类院校提供了可复制的经验，助力院校提高专业实训教学质量，更好对接企业用人需求，从需求调研出发 精准匹配预算及教学需求项目启动前，校方组织专业团队两次赴上海考察，重点走访了随幻科技宝山棚、上海</t>
  </si>
  <si>
    <t>国际中文网</t>
  </si>
  <si>
    <t>中新资讯网</t>
  </si>
  <si>
    <t>广东视听</t>
  </si>
  <si>
    <t>国际新闻网</t>
  </si>
  <si>
    <t>第一科技网</t>
  </si>
  <si>
    <t>中国生活网</t>
  </si>
  <si>
    <t>环球商讯网</t>
  </si>
  <si>
    <t>每日资讯网</t>
  </si>
  <si>
    <t>第一经济网</t>
  </si>
  <si>
    <t>华南新闻网</t>
  </si>
  <si>
    <t>前沿科技网</t>
  </si>
  <si>
    <t>环球新闻网</t>
  </si>
  <si>
    <t>科技观察网</t>
  </si>
  <si>
    <t>中华新闻网</t>
  </si>
  <si>
    <t>中国硅谷网</t>
  </si>
  <si>
    <t>前瞻科技网</t>
  </si>
  <si>
    <t>中国快报网</t>
  </si>
  <si>
    <t>黑马新闻网</t>
  </si>
  <si>
    <t>科技焦点网</t>
  </si>
  <si>
    <t>上海资讯网</t>
  </si>
  <si>
    <t>东南周报网</t>
  </si>
  <si>
    <t>中青新闻网</t>
  </si>
  <si>
    <t>中国焦点网</t>
  </si>
  <si>
    <t>观察网</t>
  </si>
  <si>
    <t>经济周刊网</t>
  </si>
  <si>
    <t>中宏新闻网</t>
  </si>
  <si>
    <t>科技周刊网</t>
  </si>
  <si>
    <t>联播新闻</t>
  </si>
  <si>
    <t>极客科技网</t>
  </si>
  <si>
    <t>大众时报网</t>
  </si>
  <si>
    <t>科技报</t>
  </si>
  <si>
    <t>大众导报</t>
  </si>
  <si>
    <t>第一资讯网</t>
  </si>
  <si>
    <t>中国商讯</t>
  </si>
  <si>
    <t>商投网</t>
  </si>
  <si>
    <t>2025-04-21 16:50:00</t>
  </si>
  <si>
    <t>环球经济网</t>
  </si>
  <si>
    <t>人民经济网</t>
  </si>
  <si>
    <t>浙江生活报</t>
  </si>
  <si>
    <t>中关村热线</t>
  </si>
  <si>
    <t>2025-04-21 15:52:47</t>
  </si>
  <si>
    <t>中宏网官微</t>
  </si>
  <si>
    <t>2025-04-21 15:48:12</t>
  </si>
  <si>
    <t>2025-04-21 15:47:29</t>
  </si>
  <si>
    <t>2025-04-21 15:44:02</t>
  </si>
  <si>
    <t>教育科技网</t>
  </si>
  <si>
    <t>网络安全进校园</t>
  </si>
  <si>
    <t>2025-04-16 10:22:30</t>
  </si>
  <si>
    <t>上海法制报</t>
  </si>
  <si>
    <t>本报讯  昨天是第十个全民国家安全教育日，金山公安分局民警走进社区、学校、商圈，组织开展形式多样的宣传教育活动，在上海电子信息职业技术学院，民警为学生们带来了一堂生动的“网络安全宣讲”，结合真实案例，深入剖析新型网络安全风险，为学生们送上个人信息安全防护指南，帮助学生提升防范网络风险的能力，图为金山分局民警在上海电子信息职业技术学院开展网络安全宣讲。</t>
  </si>
  <si>
    <t>2025年“三校生”高考39校招生章程汇总！</t>
  </si>
  <si>
    <t>2025-04-15 17:01:51</t>
  </si>
  <si>
    <t>今天，参与2025年“三校生”高考招生的39所高校招生章程悉数公布！根据招生章程显示，2025年“三校生”高考的招生专业为351个，招生计划总量为2905个，其中本科计划为550个，专科计划为2355个，为便于考生在志愿填报前了解相关政策、报考院校及专业各招生院校、市教育考试院将于4月17日15:00-20:00通过“上海招考热线”和“东方网”接受考生网上咨询点击下文表格中的高校名称即可查看对应</t>
  </si>
  <si>
    <t>上海高职高专思想政治理论课建设联盟第八届年会顺利举行</t>
  </si>
  <si>
    <t>2025-04-15 10:44:00</t>
  </si>
  <si>
    <t>4月12日上午，上海高职高专思政课建设联盟第八届年会顺利举行，顾红亮指出要认真学习贯彻习近平总书记关于学校思政课建设重要指示和新时代学校思政课建设推进会精神，深入推动思政课建设内涵式发展，　　本届年会以“构建‘大思政课’格局，践行立德树人使命”为主题，由上海高职高专思政课建设联盟主办，上海旅游高等专科学校承办，上海市教卫党委副书记、上海市教委副主任顾红亮出席会议并讲话，联盟理事会成员、全市高职高</t>
  </si>
  <si>
    <t>祝贺！“2023年度上海高校辅导员队伍建设月”系列活动获奖名单公布</t>
  </si>
  <si>
    <t>2025-04-15 09:13:58</t>
  </si>
  <si>
    <t>根据相关文件要求，市教卫工作党委、市教委组织开展了“2023年度上海高校辅导员队伍建设月”系列活动，宣传展示活动中，经高校推荐、网络投票、专家复审、终审答辩、公示等环节，选树年度人物10名、年度人物提名10名、年度人物入围10名；在，中，经案例分析、理论宣讲展示等环节，评选出一等奖3名、二等奖7名、三等奖10名、优胜奖10名、优秀指导教师10名；在，中，经教案评审、说课展示、现场教学等环节，评选</t>
  </si>
  <si>
    <t>2025-04-15 09:09:12</t>
  </si>
  <si>
    <t>来源：上海教育[OCR_O][IMG0]姓名，上海中侨职业技术大学[BR][IMG2]姓名，上海建桥学院有限责任公司[BR][IMG3]奖项，上海立信会计金融学院[BR][IMG5]奖项，逻辑和破解理路[BR][IMG9]论文题目。</t>
  </si>
  <si>
    <t>2025-04-15 09:09:00</t>
  </si>
  <si>
    <t>　　根据相关文件要求，市教卫工作党委、市教委组织开展了“2023年度上海高校辅导员队伍建设月”系列活动，　　在“2023上海高校辅导员年度人物”宣传展示活动中，经高校推荐、网络投票、专家复审、终审答辩、公示等环节，选树年度人物10名、年度人物提名10名、年度人物入围10名；在，“第四届上海高校辅导员主题班会展示活动”中，经教案评审、说课展示、现场教学等环节，评选出一等奖3名、二等奖7名、三等奖1</t>
  </si>
  <si>
    <t>根据相关文件要求，市教卫工作党委、市教委组织开展了“2023年度上海高校辅导员队伍建设月”系列活动，在“2023上海高校辅导员年度人物”宣传展示活动中，经高校推荐、网络投票、专家复审、终审答辩、公示等环节，选树年度人物10名、年度人物提名10名、年度人物入围10名；在，“第四届上海高校辅导员主题班会展示活动”中，经教案评审、说课展示、现场教学等环节，评选出一等奖3名、二等奖7名、三等奖10名、优</t>
  </si>
  <si>
    <t>上海电子信息职业技术学院：“住企成长计划”助力人才精准供给</t>
  </si>
  <si>
    <t>2025-04-12 11:30:02</t>
  </si>
  <si>
    <t>近日，上海电子信息职业技术学院机械与能源工程学院76名大二、大三学生来到上海自由贸易试验区临港新片区的集成电路产业园区开启“住企成长计划”，校长赵坚表示住企培养是深化产教融合、校企合作的有效路径，通过参与企业真实任务，学生可以了解到最新技术、提升实践能力、缩短岗位适应期，学校则可以更好地实现人才精准供给，他们白天是半导体设备装配产线上的实战学徒，晚上则是企业宿舍里的技能充电者，被分配到制造部核心</t>
  </si>
  <si>
    <t>2025-04-12 11:02:34</t>
  </si>
  <si>
    <t>2025-04-12 11:02:00</t>
  </si>
  <si>
    <t>2025-04-12 10:59:13</t>
  </si>
  <si>
    <t>2025-04-12 10:54:00</t>
  </si>
  <si>
    <t>郑鑫</t>
  </si>
  <si>
    <t>2025-04-11 18:11:17</t>
  </si>
  <si>
    <t>来源：人民网-教育频道人民网北京4月11日电，校长赵坚表示住企培养是深化产教融合、校企合作的有效路径，通过参与企业真实任务，学生可以了解到最新技术、提升实践能力、缩短岗位适应期，学校则可以更好地实现人才精准供给，近日，上海电子信息职业技术学院机械与能源工程学院76名大二、大三学生来到上海自由贸易试验区临港新片区的集成电路产业园区开启“住企成长计划”，他们白天是半导体设备装配产线上的实战学徒，晚上</t>
  </si>
  <si>
    <t>2025-04-11 17:45:08</t>
  </si>
  <si>
    <t>2025-04-11 17:34:42</t>
  </si>
  <si>
    <t>2025-04-11 17:26:03</t>
  </si>
  <si>
    <t>2025-04-11 17:21:00</t>
  </si>
  <si>
    <t>2025-04-11 16:16:00</t>
  </si>
  <si>
    <t>2025第106届上海电子展</t>
  </si>
  <si>
    <t>2025-04-07 23:59:59</t>
  </si>
  <si>
    <t>中自网</t>
  </si>
  <si>
    <t>中国电子信息业发展进入新时代，重点产业链高质量发展行动取得阶段性成果，产业科技创新取得新突破，产业结构进一步优化升级，核心技术自主创新、产业链现代化与安全可控是我国高质量发展的重要内容，电子元器件是支撑信息技术产业发展的基石，也是保障产业链供应链安全稳定的关键，上海与长三角各地产业协同发展，是集聚影响力和竞争力的世界级电子信息产业集群，产业链稳定性和韧性显著增强；新业态新模式持续涌现，电子信息产</t>
  </si>
  <si>
    <t>2025-04-07 16:18:41</t>
  </si>
  <si>
    <t>南京在线</t>
  </si>
  <si>
    <t>2025第106届上海电子展2025China，地点:上海新国际博览中心主题:创新强基·智造升级主办单位：中国电子器材有限公司协办单位:中国电子元件行业协会中国电子仪器行业协会中国电子专用设备工业协会电子制造产业联盟上海市集成电路行业协会展会介绍中国电子信息业发展进入新时代，重点产业链高质量发展行动取得阶段性成果，产业科技创新取得新突破，产业结构进一步优化升级，核心技术自主创新、产业链现代化与安</t>
  </si>
  <si>
    <t>上海市职业教育产教融合促进会高等教育分会成立</t>
  </si>
  <si>
    <t>2025-04-07 15:29:00</t>
  </si>
  <si>
    <t>4月2日，上海市职业教育产教融合促进会高等教育分会成立大会在上海南湖职业技术学院举行，朱建柳表示分会主要承担五大核心职能：一是深入落实国家和上海市产教融合相关政策要求，引导会员单位积极开展产教融合工作，研究国内外产教融合发展趋势，主动服务职业教育改革发展，分会将整合高校、企业、行业资源，推动职业教育与产业需求精准对接，打造“政校行企”协同育人新生态，培育更多“大国工匠”，分会由上海南湖职业技术学</t>
  </si>
  <si>
    <t>“住企成长计划”：让技能人才深度融入、加速成长</t>
  </si>
  <si>
    <t>2025-04-04 22:52:32</t>
  </si>
  <si>
    <t>光明日报</t>
  </si>
  <si>
    <t>光明日报全媒体记者张胜；通讯员张晓晓、倪娜</t>
  </si>
  <si>
    <t>晨光初露，上海自由贸易试验区临港新片区集成电路产业园内，上海芯源微企业发展有限公司、中微公司设备，张晨阳表示以前只是在课堂上学习理论知识，这次能走进企业，参与到实际项目中，感觉既兴奋又充满挑战。张晨阳表示将珍惜机遇，精进技能，为将来成为一名优秀的技术骨干夯实专业基础，企业人力资源部门相关负责人表示通过住企培养项目，企业资源与学校教育资源实现了深度融合，共同培养出了一批符合产业发展需求的高技能人才</t>
  </si>
  <si>
    <t>这个分会在虹口成立~涉及职业教育</t>
  </si>
  <si>
    <t>2025-04-04 08:27:00</t>
  </si>
  <si>
    <t>4月2日下午，上海市职业教育产教融合促进会高等教育分会成立大会，在上海南湖职业技术学院举行，立项培育单位，上海南湖职业技术学院具有丰厚的产教融合领域实践基础，包括牵头成立上海市虹口区产教融合联合体、全国智能新能源汽车行业产教融合共同体、全国泛酒店业产教融合共同体，牵头建设4个产业学院，获批上海市首批现代产业学院及产教融合型专业等，旨在整合高校、企业、行业资源，打造“政校行企”协同育人新生态，为全</t>
  </si>
  <si>
    <t>产业、专业、就业三联动，深化职业教育产教融合，这个新平台亮相……</t>
  </si>
  <si>
    <t>2025-04-03 22:31:00</t>
  </si>
  <si>
    <t>4月2日，上海市职业教育产教融合促进会高等教育分会在上海南湖职业技术学院揭牌成立，上海市职业教育产教融合促进会会长姜晓敏透露分会的成立是上海建设 的关键一步，也是落实国家十四五教育发展规划中 要求的具体实践，上海市职业教育产教融合促进会会长姜晓敏透露合作办学、合作育人、合作就业、合作发展是产教融合的必由之路，新平台的搭建将助推实现产业、专业、就业三联动，让职业院校培养的人才真正受企业和用人单位欢</t>
  </si>
  <si>
    <t>2025-04-03 22:29:14</t>
  </si>
  <si>
    <t>2025-04-03 22:01:20</t>
  </si>
  <si>
    <t>2025-04-03 21:40:56</t>
  </si>
  <si>
    <t>2025-04-03 20:33:22</t>
  </si>
  <si>
    <t>2025-04-03 20:31:00</t>
  </si>
  <si>
    <t>2025-04-03 20:00:23</t>
  </si>
  <si>
    <t>2025-04-03 19:53:38</t>
  </si>
  <si>
    <t>2025-04-03 19:23:48</t>
  </si>
  <si>
    <t>任朝霞</t>
  </si>
  <si>
    <t>2025-04-03 19:23:00</t>
  </si>
  <si>
    <t>上海电子信息职业技术学院76名学子入住临港集成电路产业园区产教联合培养</t>
  </si>
  <si>
    <t>2025-04-03 16:36:00</t>
  </si>
  <si>
    <t>中国经济网城市频道</t>
  </si>
  <si>
    <t>晨光初露，上海自由贸易试验区临港新片区集成电路产业园内，上海芯源微企业发展有限公司、中微公司设备，企业人力资源总监在阶段总结会上透露通过住企培养项目，企业资源与学校教育资源实现了深度融合，共同培养出了一批符合产业发展需求的高技能人才，校长赵坚在调研企业时表示这次住企培养是一次宝贵的实践探索，让学生们深入行业一线，切身感受到半导体设备行业的技术创新和产业脉搏。未来，我们将继续深化校企合作，紧跟行业</t>
  </si>
  <si>
    <t>2025-04-03 16:10:09</t>
  </si>
  <si>
    <t>目前，最新一期“住企培养”项目正在紧锣密鼓地通过岗前集训与项目实战双轨并进，上海电子信息职业技术学院临港新片区“住企”培养项目推动技能人才深度融入企业生产全链条，在深化校企合作的同时，不断为半导体设备行业培养高技能人才，为中国集成电路行业高质量发展提供青年智慧和职教方案。</t>
  </si>
  <si>
    <t>2025-04-03 16:10:00</t>
  </si>
  <si>
    <t>中国发展网讯晨光初露，上海自由贸易试验区临港新片区集成电路产业园内，上海芯源微企业发展有限公司、中微公司设备，企业人力资源总监在阶段总结会上透露通过住企培养项目，企业资源与学校教育资源实现了深度融合，共同培养出了一批符合产业发展需求的高技能人才，校长赵坚在调研企业时表示这次住企培养是一次宝贵的实践探索，让学生们深入行业一线，切身感受到半导体设备行业的技术创新和产业脉搏。未来，我们将继续深化校企合</t>
  </si>
  <si>
    <t>上海电子信息职业技术学院76名学子入驻临港集成电路产业园区产教联合培养</t>
  </si>
  <si>
    <t>2025-04-03 13:59:43</t>
  </si>
  <si>
    <t>创新强基·智造升级“2025第106届上海电子展”开启全球招展工作</t>
  </si>
  <si>
    <t>2025-03-31 09:20:08</t>
  </si>
  <si>
    <t>2025-03-31 09:16:00</t>
  </si>
  <si>
    <t>凯迪网</t>
  </si>
  <si>
    <t>展会小助手</t>
  </si>
  <si>
    <t>2025-03-31 09:15:21</t>
  </si>
  <si>
    <t xml:space="preserve"> 宣城广德市：厚植人才沃土 激活发展动能_中安在线</t>
  </si>
  <si>
    <t>2025-03-28 16:46:00</t>
  </si>
  <si>
    <t>　　近年来，广德市紧扣“工业强市、康养名城”发展主线，以政策创新为引领，以产教融合为抓手，以招工引才为保障，构建起全链条人才发展生态体系，通过持续优化人才政策、深化校企合作、创新引才模式，满足企业用工需求，为高质量发展注入强劲动能，　　政策红利持续释放　　面对长三角一体化发展机遇，广德市坚持“政策跟着产业走、服务围着人才转”，先后推出人才政策“三部曲”：从《人才兴企二十条》基础版到3.0升级版，</t>
  </si>
  <si>
    <t>第八届西湖论剑·中国杭州网络安全技能大赛决赛预告：AI赋能网安战场，智能攻防剑指巅峰！</t>
  </si>
  <si>
    <t>2025-03-28 16:22:02</t>
  </si>
  <si>
    <t>网安群英问鼎时！第八届西湖论剑·中国杭州网络安全技能大赛自2024年12月广发英雄帖以来，报名院校数量和人数创历史新高，吸引了436所高校和10余家企业的842支队伍、4169名选手参赛，据大赛主办方透露网络攻防实战赛的决赛分为攻防实战、数据安全、IOT 挑战，基本是前几届大赛的延续，通过仿真的网络空间靶场，构建模拟的真实业务与事件场景，其中，创新挑战赛更是群雄并起，报名队伍数量相较前一届增长6</t>
  </si>
  <si>
    <t>第八届西湖论剑·中国杭州网络安全技能大赛决赛预告：巅峰对决，一触即发</t>
  </si>
  <si>
    <t>2025-03-28 14:32:38</t>
  </si>
  <si>
    <t>网安群英问鼎时！第八届西湖论剑·中国杭州网络安全技能大赛自2024年12月广发英雄帖以来，报名院校数量和人数创历史新高，吸引了436所高校和10余家企业的842支队伍、4169名选手参赛，据大赛主办方透露网络攻防实战赛的决赛分为攻防实战、数据安全、IOT 挑战，基本是前几届大赛的延续，通过仿真的网络空间靶场，构建模拟的真实业务与事件场景，对文章事实有疑问请与有关方核实或与本网联系，其中，创新挑战</t>
  </si>
  <si>
    <t>2025-03-28 14:31:18</t>
  </si>
  <si>
    <t>对文章事实有疑问，请与有关方核实或与本网联系。</t>
  </si>
  <si>
    <t>2025-03-28 14:31:00</t>
  </si>
  <si>
    <t>第八届西湖论剑网安大赛决赛：巅峰对决即将上演</t>
  </si>
  <si>
    <t>2025-03-28 13:57:43</t>
  </si>
  <si>
    <t>中国科技新闻网</t>
  </si>
  <si>
    <t>2025-03-28 13:17:00</t>
  </si>
  <si>
    <t>牛华网</t>
  </si>
  <si>
    <t>2025-03-27 11:47:05</t>
  </si>
  <si>
    <t>第八届西湖论剑大赛进行时！群英荟萃，AI安全大战巅峰对决就在3月下旬</t>
  </si>
  <si>
    <t>2025-03-27 11:20:51</t>
  </si>
  <si>
    <t>星视频</t>
  </si>
  <si>
    <t>2025-03-26 16:08:56</t>
  </si>
  <si>
    <t>科技快报网</t>
  </si>
  <si>
    <t>商业媒体,信息科技</t>
  </si>
  <si>
    <t>网安群英问鼎时！第八届西湖论剑·中国杭州网络安全技能大赛自2024年12月广发英雄帖以来，报名院校数量和人数创历史新高，吸引了436所高校和10余家企业的842支队伍、4169名选手参赛，据大赛主办方透露网络攻防实战赛的决赛分为攻防实战、数据安全、IOT，其中，创新挑战赛更是群雄并起，报名队伍数量相较前一届增长62.7%，经过初赛的激烈角逐，晋级决赛的豪强名单已然揭晓，将于3月29日展开终极对决</t>
  </si>
  <si>
    <t>安徽广德：厚植人才沃土 激活发展动能</t>
  </si>
  <si>
    <t>2025-03-26 16:02:16</t>
  </si>
  <si>
    <t>近年来，广德市紧扣“工业强市、康养名城”发展主线，以政策创新为引领，以产教融合为抓手，以招工引才为保障，构建起全链条人才发展生态体系，通过持续优化人才政策、深化校企合作、创新引才模式，满足企业用工需求，为高质量发展注入强劲动能，政策红利持续释放面对长三角一体化发展机遇，广德市坚持“政策跟着产业走、服务围着人才转”，先后推出人才政策“三部曲”：从《人才兴企二十条》基础版到3.0升级版，再到配套出台</t>
  </si>
  <si>
    <t>手机人民网</t>
  </si>
  <si>
    <t>2025-03-26 16:02:00</t>
  </si>
  <si>
    <t>近年来，广德市紧扣“工业强市、康养名城”发展主线，以政策创新为引领，以产教融合为抓手，以招工引才为保障，构建起全链条人才发展生态体系，通过持续优化人才政策、深化校企合作、创新引才模式，满足企业用工需求，为高质量发展注入强劲动能，面对长三角一体化发展机遇，广德市坚持“政策跟着产业走、服务围着人才转”，先后推出人才政策“三部曲”：从《人才兴企二十条》基础版到3.0升级版，再到配套出台《招工引工奖励办</t>
  </si>
  <si>
    <t>近年来，广德市紧扣“工业强市、康养名城”发展主线，以政策创新为引领，以产教融合为抓手，以招工引才为保障，构建起全链条人才发展生态体系，通过持续优化人才政策、深化校企合作、创新引才模式，满足企业用工需求，为高质量发展注入强劲动能，面对长三角一体化发展机遇，广德市坚持“政策跟著产业走、服务围著人才转”，先后推出人才政策“三部曲”：从《人才兴企二十条》基础版到3.0升级版，再到配套出台《招工引工奖励办</t>
  </si>
  <si>
    <t>2025-03-26 13:33:00</t>
  </si>
  <si>
    <t>2025年上海市高校法治工作会议在上海财经大学召开</t>
  </si>
  <si>
    <t>2025-03-21 16:39:00</t>
  </si>
  <si>
    <t>法治上海</t>
  </si>
  <si>
    <t>3月19日下午，上海市高校法治工作会议在上海财经大学召开，教育部政策法规司副司长翟刚学、上海市教委副主任赵震出席会议并讲话，上海财经大学党委书记许涛出席会议并致辞，打开APP，查看更多精彩图片许涛代表上海财经大学对各位领导和嘉宾的到来表示热烈欢迎，并介绍了学校在依法治校方面的探索和实践，近年来，学校围绕完善决策机制、优化规章制度、强化内部控制、推进数字治理等方面不断创新，持续提升治理能力，随后，</t>
  </si>
  <si>
    <t>2025年增设9个专业点开展“高本贯通”！速戳查看院校、专业——</t>
  </si>
  <si>
    <t>2025-03-20 17:03:49</t>
  </si>
  <si>
    <t>近日，上海市教委批复同意，2025年增设9个专业点开展专科高等职业教育—应用本科专业贯通培养模式工作，纳入自招，这些高中招生！2025上海中考艺术骨干、优秀体育学生招生办法出炉，2025信奥上海队名单公示！17人入选，6人来自华二，最小仅初一，上海市教育委员会2025年增设专科高等职业教育一，一应用本科专业贯通培养模式院校、专业一览表。</t>
  </si>
  <si>
    <t>头条｜启航！喀什理工职业技术学院2025年上海访学团开启申城求知之旅</t>
  </si>
  <si>
    <t>2025-03-19 03:12:00</t>
  </si>
  <si>
    <t>130名师生集体启程赴上海，开启为期100天的访学活动，喀什理工院长彭宗祥说在上海援疆前指的领导和统筹安排下，喀什理工将和其他上海对口援助院校共同探索形成访学活动的常态化、长效化机制。未来，也将会有更多新疆学子通过这一平台走进上海高校，在学术交流、技能提升、文化互鉴中实现个人成长，进一步促进两地教育资源共享与人文互通，铸牢中华民族共同体意识。上海市对口支援新疆工作前方指挥部总指挥孟庆源为师生送行</t>
  </si>
  <si>
    <t>喀什理工职业技术学院2025年上海访学团开启申城求知之旅</t>
  </si>
  <si>
    <t>2025-03-18 19:38:08</t>
  </si>
  <si>
    <t>130名师生集体启程赴上海，开启为期100天的访学活动，孟庆源表示希望喀什理工访学团要珍惜机遇，勤学善思，喀什理工院长彭宗祥说在上海援疆前指的领导和统筹安排下，喀什理工将和其他上海对口援助院校共同探索形成访学活动的常态化、长效化机制。未来，也将会有更多新疆学子通过这一平台走进上海高校，在学术交流、技能提升、文化互鉴中实现个人成长，进一步促进两地教育资源共享与人文互通，铸牢中华民族共同体意识。上海</t>
  </si>
  <si>
    <t>教育帮扶 | 喀什理工职业技术学院2025年上海访学团开启申城求知之旅</t>
  </si>
  <si>
    <t>2025-03-18 19:30:00</t>
  </si>
  <si>
    <t>2025-03-18 19:00:44</t>
  </si>
  <si>
    <t>视频 | 老少携手种下樱花树 村里荒地复绿在望</t>
  </si>
  <si>
    <t>2025-03-12 19:49:35</t>
  </si>
  <si>
    <t>李俊涛上海电子信息职业技术学院团总支副书记、学生，潘志丹西渡街道南渡村党总支书记、村委会主任。</t>
  </si>
  <si>
    <t>代表委员为解决产教融合难题建言献策——【完善技能形成体系 培养一流产业技术工人④】构建共创共赢产教融合新生态</t>
  </si>
  <si>
    <t>2025-03-11 09:50:42</t>
  </si>
  <si>
    <t>提升课程设置前瞻性、畅通师资人才交流通道、出台产教融合实施细则……针对政府工作报告中提到的“推进职普融通、产教融合，增强职业教育适应性”，来自企业、职业院校等相关领域的代表委员为解决产教融合中面临的难题建言献策，杨登辉代表认为职业院校在专业布局上应走在前沿，关注未来10年乃至20年的专业发展方向，中国中车首席科学家冯江华委员表示随着人工智能、智能制造等新技术的渗透融合，产业对工匠人才的技能需求变</t>
  </si>
  <si>
    <t>提升课程设置前瞻性、畅通师资人才交流通道、出台产教融合实施细则……针对政府工作报告中提到的“推进职普融通、产教融合，增强职业教育适应性”，来自企业、职业院校等相关领域的代表委员为解决产教融合中面临的难题建言献策，杨登辉代表认为职业院校在专业布局上应走在前沿，关注未来10年乃至20年的专业发展方向，中国中车首席科学家冯江华委员表示随著人工智能、智能制造等新技术的渗透融合，产业对工匠人才的技能需求变</t>
  </si>
  <si>
    <t>【完善技能形成体系 培养一流产业技术工人④】构建共创共赢产教融合新生态</t>
  </si>
  <si>
    <t>张嫱提升课程设置前瞻性、畅通师资人才交流通道、出台产教融合实施细则……针对政府工作报告中提到的“推进职普融通、产教融合，增强职业教育适应性”，来自企业、职业院校等相关领域的代表委员为解决产教融合中面临的难题建言献策，中国中车首席科学家冯江华委员表示随着人工智能、智能制造等新技术的渗透融合，产业对工匠人才的技能需求变化加速，有必要对工匠人才的培养适度超前规划， 吸引工匠人才进学校在企业调研中，杨登</t>
  </si>
  <si>
    <t>[完善技能形成体系 培养一流产业技术工人(4)]构建共创共赢产教融合新生态</t>
  </si>
  <si>
    <t>曲欣悦陈晓燕朱欣张嫱提升课程设置前瞻性、畅通师资人才交流通道、出台产教融合实施细则……针对政府工作报告中提到的“推进职普融通、产教融合，增强职业教育适应性”，来自企业、职业院校等相关领域的代表委员为解决产教融合中面临的难题建言献策，中国中车首席科学家冯江华委员表示随着人工智能、智能制造等新技术的渗透融合，产业对工匠人才的技能需求变化加速，有必要对工匠人才的培养适度超前规划， 吸引工匠人才进学校在</t>
  </si>
  <si>
    <t>「完善技能形成体系 培养一流产业技术工人④」构建共创共赢产教融合新生态</t>
  </si>
  <si>
    <t>2025-03-11 09:50:00</t>
  </si>
  <si>
    <t>2025-03-11 08:17:52</t>
  </si>
  <si>
    <t>海博TV</t>
  </si>
  <si>
    <t>曲欣悦 陈晓燕 朱欣 张嫱</t>
  </si>
  <si>
    <t>　　提升课程设置前瞻性、畅通师资人才交流通道、出台产教融合实施细则……针对政府工作报告中提到的“推进职普融通、产教融合，增强职业教育适应性”，来自企业、职业院校等相关领域的代表委员为解决产教融合中面临的难题建言献策，中国中车首席科学家冯江华委员表示随着人工智能、智能制造等新技术的渗透融合，产业对工匠人才的技能需求变化加速，有必要对工匠人才的培养适度超前规划， 　　吸引工匠人才进学校　　在企业调研</t>
  </si>
  <si>
    <t>完善技能形成体系 培养一流产业技术工人④｜构建共创共赢产教融合新生态</t>
  </si>
  <si>
    <t>2025-03-11 08:00:09</t>
  </si>
  <si>
    <t>来源：中工网-工人日报工人日报-中工网记者，中国中车首席科学家冯江华委员表示随着人工智能、智能制造等新技术的渗透融合，产业对工匠人才的技能需求变化加速，有必要对工匠人才的培养适度超前规划， 吸引工匠人才进学校在企业调研中，杨登辉代表明显感到，培养产业急需的人才，需要引进更多来自企业的先进师资力量，让技能人才和产业共同成长，畅通师资人才交流通道推进职普融通、产教融合，增强职业教育适应性，杨登辉代表</t>
  </si>
  <si>
    <t>2025-03-11 07:35:16</t>
  </si>
  <si>
    <t>2025-03-11 07:35:04</t>
  </si>
  <si>
    <t>2025-03-11 07:31:28</t>
  </si>
  <si>
    <t>2025-03-11 07:22:00</t>
  </si>
  <si>
    <t>完善技能形成体系 培养一流产业技术工人｜构建共创共赢产教融合新生态</t>
  </si>
  <si>
    <t>2025-03-11 07:14:14</t>
  </si>
  <si>
    <t>2025-03-11 07:09:27</t>
  </si>
  <si>
    <t>提升课程设置前瞻性、畅通师资人才交流通道、出台产教融合实施细则……针对政府工作报告中提到的“推进职普融通、产教融合，增强职业教育适应性”，来自企业、职业院校等相关领域的代表委员为解决产教融合中面临的难题建言献策，中国中车首席科学家冯江华委员表示随着人工智能、智能制造等新技术的渗透融合，产业对工匠人才的技能需求变化加速，有必要对工匠人才的培养适度超前规划， 吸引工匠人才进学校在企业调研中，杨登辉代</t>
  </si>
  <si>
    <t>2025-03-11 03:48:00</t>
  </si>
  <si>
    <t>朱晶晶</t>
  </si>
  <si>
    <t>2025-03-11 03:23:58</t>
  </si>
  <si>
    <t>“创课大赛上海闵行经验”成果丰硕，形成社区治理和学习“共同体”</t>
  </si>
  <si>
    <t>2025-03-06 13:14:00</t>
  </si>
  <si>
    <t>《心灵编织者--儿童哲学亲子对话营》《民以食为天--超市食品区大揭秘》《社区应急安全一站通》《生活化学指南--解锁身边的科学力量》……这些课程由大学生开发，为社区定制，“协创共学·第二届上海市大学生社区创课大赛闵行区选拔赛暨第七届闵行区创课大赛展示活动”近日在上海市闵行区吴泾镇党群服务中心举行，这是以先行先试、创新引领为特点的创课大赛闵行经验的又一个成果，受到多方点赞，此次创课大赛由上海市教育委</t>
  </si>
  <si>
    <t>专科自招志愿如何填？12所院校招办老师支招</t>
  </si>
  <si>
    <t>2025-03-05 09:54:13</t>
  </si>
  <si>
    <t>    2025年，沪上共有36所试点院校参与专科自招，共有500余个招生专业，共投放了16000多个招生计划，    上海东海职业技术学院招生就业处蔡建平老师告诉记者学校的护理、大数据与会计、机电一体化技术、计算机应用技术、影视动画等专业报考和咨询都非常热门。    上海邦德职业技术学院招办主任徐敏老师表示很多家长一上来就问哪个专业就业好就选那个专业，而在她看来最重要的应该选个孩子喜欢的专业学</t>
  </si>
  <si>
    <t>闵行居民可自选200多门由大学生研发的社区教育老年教育课程</t>
  </si>
  <si>
    <t>2025-03-04 14:26:04</t>
  </si>
  <si>
    <t>“协创共学·第二届上海市大学生社区创课大赛闵行区选拔赛暨第七届闵行区创课大赛展示活动”，日前在闵行区吴泾镇党群服务中心举行，自本届大赛启动以来，华东师范大学、上海电子信息职业技术学院等高校学生积极组队参加闵行赛区比赛，他们从参加创课训练营到深入社区调研居民学习需求，从设计课程方案到顺利通过区级初选，最终共有22支参赛队伍进入区级创课孵化基地，在社区教育老师的指导下前往各社区学校进一步孵化并落地课</t>
  </si>
  <si>
    <t>2025-03-04 14:07:02</t>
  </si>
  <si>
    <t>2025-03-04 14:01:11</t>
  </si>
  <si>
    <t>2025-03-04 13:56:09</t>
  </si>
  <si>
    <t>2025-03-04 13:55:46</t>
  </si>
  <si>
    <t>2025-03-04 13:55:06</t>
  </si>
  <si>
    <t>2025-03-04 13:55:00</t>
  </si>
  <si>
    <t>专科自招志愿如何填？12所院校招办老师给考生支招</t>
  </si>
  <si>
    <t>2025-03-03 21:33:00</t>
  </si>
  <si>
    <t>2025年，沪上共有36所试点院校参与专科自招，共有500余个招生专业，共投放了16000多个招生计划，上海东海职业技术学院招生就业处蔡建平老师告诉记者学校的护理、大数据与会计、机电一体化技术、计算机应用技术、影视动画等专业报考和咨询都非常热门。上海邦德职业技术学院招办主任徐敏老师表示很多家长一上来就问哪个专业就业好就选那个专业，而在她看来最重要的应该选个孩子喜欢的专业学，上海建设管理职业技术学</t>
  </si>
  <si>
    <t>2025年，沪上共有36所试点院校参与专科自招，共有500余个招生专业，共投放了16000多个招生计划，上海邦德职业技术学院招办主任徐敏老师表示很多家长一上来就问哪个专业就业好就选那个专业，而在她看来最重要的应该选个孩子喜欢的专业学，上海建设管理职业技术学院招就中心邢晓斌老师表示该校是由上海市住房和城乡建设管理委员会、上海市教育委员会及上海市青浦区人民政府三方共建的公办全日制新型高等职业院校，办</t>
  </si>
  <si>
    <t>2025-03-03 19:19:44</t>
  </si>
  <si>
    <t>张骞</t>
  </si>
  <si>
    <t>高招｜2025沪专科自招36所高校招生章程发布，详情一键查询！</t>
  </si>
  <si>
    <t>2025-02-27 19:03:00</t>
  </si>
  <si>
    <t>根据章程显示，2025年专科自招共有500余个招生专业，共投放了16000多个招生计划，以下为2025专科自主招生专业及计划数一览表，志愿填报时间为3月7日9:00—21:00，3月8日9:00—15:00，各项测试日期统一定于3月22日，更多详情可查看《2025年上海市部分普通高校专科层次实行依法自主招生改革试点方案》，为帮助考生和家长及时了解志愿填报、考试内容等相关政策，上海市教育考试院、《</t>
  </si>
  <si>
    <t>2025-02-27 18:58:07</t>
  </si>
  <si>
    <t>根据章程显示，2025年专科自招共有500余个招生专业，共投放了16000多个招生计划，以下为2025专科自主招生专业及计划数一览表，特别提醒相关考生关注以下时间点——志愿填报时间为3月7日9:00—21:00，3月8日9:00—15:00，各项测试日期统一定于3月22日，更多详情可查看《2025年上海市部分普通高校专科层次实行依法自主招生改革试点方案》，为帮助考生和家长及时了解志愿填报、考试内</t>
  </si>
  <si>
    <t>2025沪专科自招36所高校招生章程发布，详情一键查询！</t>
  </si>
  <si>
    <t>2025-02-27 17:05:15</t>
  </si>
  <si>
    <t>志愿填报时间为3月7日9:00-21:00，3月8日9:00-15:00，各项测试日期统一定于3月22日，点击查看详情：《36所院校招生！2025上海高校专科自招方案公布》，全面实施学校体育家庭作业制度，每天运动2小时！《上海市中小学体育工作管理办法》公布，全场最小开发者！10岁上海男孩火出圈：他用AI爆改了一款“哪吒版”小游戏，周深的四首歌被选入教材！沪教版音乐课本选了这首……，事关上海202</t>
  </si>
  <si>
    <t>锡林郭勒职业学院第四期中层干部赋能培训班在复旦大学圆满结业</t>
  </si>
  <si>
    <t>2025-02-27 09:27:00</t>
  </si>
  <si>
    <t>内蒙古新闻网</t>
  </si>
  <si>
    <t>　　自2023年双方签署战略合作协议以来，锡林郭勒职业学院与复旦大学已成功举办四期培训班，累计培训教师200人，在职业教育政策研究、专业建设、产教融合等领域取得显著成效，参训干部表示专家讲座 ，现场教学 ，为学院未来改革提供了重要参考，参训干部表示既有政策高度，又贴近职教一线，参训干部表示直观呈现先进案例，启发性强，本次培训延续“高端引领、精准赋能”的核心理念，依托复旦大学优质教育资源，结合学院</t>
  </si>
  <si>
    <t xml:space="preserve"> 宣城广德经开区：以“产才融合”驱动产学研协同创新_中安在线</t>
  </si>
  <si>
    <t>2025-02-25 17:35:00</t>
  </si>
  <si>
    <t>　　近年来，广德经开区围绕“1+2+2”产业体系，联合三甲医院开通企业家健康服务绿色通道提升医疗水平；二是平台支撑，即1个首位产业新能源产业，2个主导产业汽车零部件产业和电子电路产业，2个优势产业智能装备制造和新材料产业，，通过政策引领、平台搭建、校企联动等举措，构建起“以产聚才、以才兴产、产才融合”的创新发展生态，为区域经济高质量发展注入强劲动能，　　政策引领构建产学研协同发展的制度保障　　广</t>
  </si>
  <si>
    <t>22个岗位拟招聘339人 2025年金山区春季促进就业专项行动暨上海乐高乐园度假区专场招聘会举行</t>
  </si>
  <si>
    <t>2025-02-25 16:16:16</t>
  </si>
  <si>
    <t>2月22日上午，在位于金山区枫泾镇的长三角路演中心，“乐业上海优+”行动——2025年金山区春季促进就业专项行动暨上海乐高乐园度假区专场招聘会现场人流如潮，近3000名长三角求职者前来应聘，不少金山本土年轻人更是早早来到现场，期待回乡就业，来自浙江嘉善的小陆表示我本身是学设计的，想着跟趣味拼搭师是相关联的。他们的问题都很专业，让我对乐高的岗位更期待了。上海富梅家政服务有限公司招聘专员告诉记者今天</t>
  </si>
  <si>
    <t>2025-02-25 16:05:44</t>
  </si>
  <si>
    <t>2025年奉贤区廉洁征兵监督员公示</t>
  </si>
  <si>
    <t>2025-02-24 17:31:12</t>
  </si>
  <si>
    <t>根据国防部征兵办公室《关于建立廉洁征兵“零报告”制度和廉洁征兵监督员制度的通知》精神，为严肃征兵纪律、强化监督执纪、纯正征兵风气，确保征兵工作公开、公平、公正，现将奉贤区征兵办廉洁征兵监督员名单、举报电话及邮箱地址、廉洁征兵纪律规定公布如下，欢迎社会各界和人民群众监督，一、不准擅自截留、挪用、私分征集指标，或者为指定人员单独下达征集指标；征集任务要按规定全部分配到位，确需调整的应由上一级征兵办公</t>
  </si>
  <si>
    <t>2025-02-24 17:01:52</t>
  </si>
  <si>
    <t xml:space="preserve">上观号作者：上海奉贤单位 姓名 所在单位及职务 联系电话 类型 南桥镇社区事务受理服务中心 退休 王仁发 17317808727 条线干部（已退休） 千部 上海电子信息职业技术学院 高校教 戴伟成 13817131472 辅导员 职员工 奉贤区 区融媒体中心专题部 热心 杨鸿志 15821985298 征兵办 副主任 群众 庄行镇农业农村服务中心 退伍 徐浩 18930408992 员工 军人 </t>
  </si>
  <si>
    <t>2025-02-24 17:01:00</t>
  </si>
  <si>
    <t>2025-02-24 16:53:13</t>
  </si>
  <si>
    <t>根据国防部征兵办公室《关于建立廉洁征兵“零报告”制度和廉洁征兵监督员制度的通知》精神，为严肃征兵纪律、强化监督执纪、纯正征兵风气，确保征兵工作公开、公平、公正，现将奉贤区征兵办廉洁征兵监督员名单、举报电话及邮箱地址、廉洁征兵纪律规定公布如下，欢迎社会各界和人民群众监督，2025年奉贤区征兵办廉洁征兵监督员名单区征兵办廉洁征兵举报电话：021—57426189区征兵办廉洁征兵举报信箱地址：奉贤区南</t>
  </si>
  <si>
    <t>2025-02-24 16:31:08</t>
  </si>
  <si>
    <t>【直通区情】金山这场招聘会,太火爆了!</t>
  </si>
  <si>
    <t>2025-02-23 13:10:43</t>
  </si>
  <si>
    <t>倪晏清、吕瑶、王卉</t>
  </si>
  <si>
    <t>近日，“乐业上海优+”行动——2025年金山区春季促进就业专项行动暨上海乐高乐园专场招聘会在长三角路演中心举行，现场共推出497个岗位，拟招聘2800余人，2025年金山区高校毕业生就业能力提升通道金山—中侨15公里创业服务圈，金山区就业促进中心副主任李红说协议的签约建立起了一个双向供需通道。当乐高乐园有人力资源的需求，公司能够做及时输送，对于职业院校学生来说，上海乐高乐园度假区内将有很多适合他</t>
  </si>
  <si>
    <t>金山今天这场招聘会，太火爆了！</t>
  </si>
  <si>
    <t>2025-02-23 11:00:00</t>
  </si>
  <si>
    <t>在招聘会启动仪式上，发布了“2025年金山区就业创业公共服务四大行动”“2025年金山区高校毕业生就业能力提升通道”“逐梦鑫启航服务计划”“金山—中侨15公里创业服务圈”站点等，还送出了“青年驿站政策服务包”“生育友好岗服务包”“高技能人才政策服务包”等，家住枫泾镇的戚徐悦告诉记者她本身就是乐高迷，专业也较为对口，特别期待能在家门口找到一份自己喜欢的工作，上海乐高乐园有限公司还分别与南上海劳动力</t>
  </si>
  <si>
    <t>2025-02-23 10:58:06</t>
  </si>
  <si>
    <t>“乐业上海优+”行动——2025年金山区春季促进就业专项行动暨上海乐高乐园专场招聘会在长三角路演中心举行现场共推出497个岗位拟招聘2800余人在招聘会启动仪式上，发布了“2025年金山区就业创业公共服务四大行动”“2025年金山区高校毕业生就业能力提升通道”“逐梦鑫启航服务计划”“金山—中侨15公里创业服务圈”站点等，还送出了“青年驿站政策服务包”“生育友好岗服务包”“高技能人才政策服务包”等</t>
  </si>
  <si>
    <t>2025-02-23 10:31:07</t>
  </si>
  <si>
    <t>【畅游上海】上海乐高乐园举行专场招聘会</t>
  </si>
  <si>
    <t>2025-02-23 09:20:54</t>
  </si>
  <si>
    <t>黄勇娣</t>
  </si>
  <si>
    <t>“我大学专业是商务旅游，这次意向岗位是上海乐高乐园里的零售运营领班，”昨天上午，在位于金山区枫泾镇的长三角路演中心，“乐业上海优+”行动——2025年金山区春季促进就业专项行动暨上海乐高乐园度假区专场招聘会现场人流如潮，近3000名长三角求职者前来应聘，不少金山本地年轻人更是早早来到现场，期待回乡就业，据介绍，上海乐高乐园度假区作为枫泾重点文旅项目，招聘前夕就受到了追捧，此番，上海乐高乐园度假区</t>
  </si>
  <si>
    <t>签订“校企联盟合约”，精准服务助梦圆</t>
  </si>
  <si>
    <t>2025-02-22 22:51:16</t>
  </si>
  <si>
    <t xml:space="preserve">文汇             </t>
  </si>
  <si>
    <t>月份的时候参加了上海乐高乐园的专场面试会，已经成功入职企业了，商业的销售渠道扩大了城市消费新场景，年金山区春季促进就业专项行动暨上海乐高乐园度假区专场招聘会，岁的返乡青年王琳在内的求职者们穿梭于各个招聘展位间，与企业招聘人员深入沟通岗位要求、福利待遇等，招聘环节还未正式开始，诸多招聘展位前都已排起了长队，招聘会上，包括上海乐高乐园度假区以及涵盖生命健康、新材料、信息技术、智能装备等四大产业集群的</t>
  </si>
  <si>
    <t>2025-02-22 21:49:14</t>
  </si>
  <si>
    <t>22个岗位，拟招聘339人！上海乐高乐园举行专场招聘，求职者排起了长队</t>
  </si>
  <si>
    <t>2025-02-22 21:10:00</t>
  </si>
  <si>
    <t>重庆大渝网</t>
  </si>
  <si>
    <t>国际商业网</t>
  </si>
  <si>
    <t>东方网   阅读量：7254</t>
  </si>
  <si>
    <t>热点新闻网</t>
  </si>
  <si>
    <t>2025-02-22 20:16:10</t>
  </si>
  <si>
    <t>“我在去年12月份的时候参加了上海乐高乐园的专场面试会，已经成功入职企业了，这也拓展了文创+旅游+商业的销售渠道扩大了城市消费新场景，今天现场乐高乐园度假区又推出了22个岗位，想陪朋友过来看看，”今天，“‘乐业上海优+’行动——2025年金山区春季促进就业专项行动暨上海乐高乐园度假区专场招聘会”在长三角路演中心举办，年后开工忙，求职热情高涨，包括28岁的返乡青年王琳在内的求职者们穿梭于各个招聘展</t>
  </si>
  <si>
    <t>22个岗位，拟招聘339人，上海这里大排长龙！</t>
  </si>
  <si>
    <t>2025-02-22 20:11:29</t>
  </si>
  <si>
    <t>2025-02-22 19:50:08</t>
  </si>
  <si>
    <t>2025-02-22 19:47:02</t>
  </si>
  <si>
    <t>2025-02-22 19:47:00</t>
  </si>
  <si>
    <t>2025-02-22 19:46:12</t>
  </si>
  <si>
    <t>2025-02-22 19:46:00</t>
  </si>
  <si>
    <t>打开APP，查看更多精彩图片“我在去年12月份的时候参加了上海乐高乐园的专场面试会，已经成功入职企业了，这也拓展了文创+旅游+商业的销售渠道扩大了城市消费新场景，今天现场乐高乐园度假区又推出了22个岗位，想陪朋友过来看看，”今天，“‘乐业上海优+’行动——2025年金山区春季促进就业专项行动暨上海乐高乐园度假区专场招聘会”在长三角路演中心举办，年后开工忙，求职热情高涨，包括28岁的返乡青年王琳在</t>
  </si>
  <si>
    <t>2025-02-22 18:08:11</t>
  </si>
  <si>
    <t>2月22日上午，在位于金山区枫泾镇的长三角路演中心，“乐业上海优+”行动——2025年金山区春季促进就业专项行动暨上海乐高乐园度假区专场招聘会现场人流如潮，近3000名长三角求职者前来应聘，不少金山本土年轻人更是早早来到现场，期待回乡就业，来着浙江嘉善的小陆表示我本身是学设计的，想着跟趣味拼搭师是相关联的。他们的问题都很专业，让我对乐高的岗位更期待了。上海富梅家政服务有限公司招聘专员告诉记者今天</t>
  </si>
  <si>
    <t>2025-02-22 17:46:02</t>
  </si>
  <si>
    <t>2025-02-22 17:45:14</t>
  </si>
  <si>
    <t>2025-02-22 17:45:00</t>
  </si>
  <si>
    <t>2025-02-22 17:44:46</t>
  </si>
  <si>
    <t>2025-02-22 17:44:00</t>
  </si>
  <si>
    <t>催人奋进，上海市教育大会引发热烈反响②</t>
  </si>
  <si>
    <t>2025-02-16 16:30:21</t>
  </si>
  <si>
    <t>聚焦立德树人根本任务，聚焦支撑引领中国式现代化，聚焦办好人民满意的教育，聚焦弘扬教育家精神，聚焦深化教育改革开放，加强党对教育事业的全面领导……大会提出了明确要求，为上海加快推进教育现代化、建设教育强市、办好人民满意的教育指明了方向，注入了强大动力，全市教育大会谋划的发展战略和改革举措，为推进教育现代化、谱写教育强国建设“上海篇章”指明了方向，同济大学将深入学习贯彻大会精神，全面深化实施《人工智</t>
  </si>
  <si>
    <t>2025-02-16 09:42:00</t>
  </si>
  <si>
    <t>转载请注明上海市教委政务微信“上海教育”2月14日举行，聚焦立德树人根本任务，聚焦支撑引领中国式现代化，聚焦办好人民满意的教育，聚焦弘扬教育家精神，聚焦深化教育改革开放，加强党对教育事业的全面领导……大会提出了明确要求，为上海加快推进教育现代化、建设教育强市、办好人民满意的教育指明了方向，注入了强大动力，大会催人奋进，引发热烈反响，一起来看——同济大学党委书记，方守恩全市教育大会谋划的发展战略和</t>
  </si>
  <si>
    <t>强教先强师 弘扬教育家精神</t>
  </si>
  <si>
    <t>2025-02-14 12:06:06</t>
  </si>
  <si>
    <t>看看新闻Knews</t>
  </si>
  <si>
    <t>2018年9月，新时代以来的首次全国教育大会召开；2024年9月，全国教育大会又一次召开，吹响了加快建设教育强国的号角，音乐教师焦锋称黄浦区卢湾一中心小学科研室主任、心理教师余珏则表示： 强化师资力量的培养，提升教师能力与水平，正是上海加快义务教育优质均衡发展的关键一环，而科学学科教师王频也称比如在探索宇宙飞船的项目当中，就结合了美术学科的纸工技法，以及科学学科当中宇宙飞船的知识。而科学学科教师</t>
  </si>
  <si>
    <t>2025-02-13 19:34:14</t>
  </si>
  <si>
    <t>2025-02-13 19:32:45</t>
  </si>
  <si>
    <t>看看新闻KNEWS</t>
  </si>
  <si>
    <t>2018年9月，新时代以来的首次全国教育大会召开；2024年9月，全国教育大会又一次召开，吹响了加快建设教育强国的号角，而科学学科教师王频也称比如在探索宇宙飞船的项目当中，就结合了美术学科的纸工技法，以及科学学科当中宇宙飞船的知识。而科学学科教师王频也称向年轻老师学习多媒体教学，获得一些新的技术来支撑我的课堂，学校30、40、50各个年龄段的老师各自都有自己擅长的领域。而科学学科教师王频也称学校</t>
  </si>
  <si>
    <t>2025-02-13 19:30:00</t>
  </si>
  <si>
    <t>2018年9月，新时代以来的首次全国教育大会召开；2024年9月，全国教育大会又一次召开，吹响了加快建设教育强国的号角，而科学学科教师王频也称比如在探索宇宙飞船的项目当中，就结合了美术学科的纸工技法，以及科学学科当中宇宙飞船的知识。而科学学科教师王频也称向年轻老师学习多媒体教学，获得一些新的技术来支撑我的课堂，学校30、40、50各个年龄段的老师各自都有自己擅长的领域。音乐教师焦锋称自从我们和卢</t>
  </si>
  <si>
    <t>2025-02-13 19:27:26</t>
  </si>
  <si>
    <t>【#高校大拜年# 】@上海电子信息职业技术学院 祝大家蛇年大吉，福满坤!#蛇年大吉##金蛇献瑞#山西教育招生考试的微博视频 ​​[OCR_O][IMG0]金蛇献璃[BR]</t>
  </si>
  <si>
    <t>2025-01-26 09:12:47</t>
  </si>
  <si>
    <t>山西教育杂志社官博</t>
  </si>
  <si>
    <t>#高校大拜年# 祝大家蛇年大吉，福满坤!#蛇年大吉##金蛇献瑞#山西教育招生考试的微博视频 ​​[OCR_O][IMG0]金蛇献璃[BR]</t>
  </si>
  <si>
    <t>沪滇协作，春风送岗！奉贤·大理2025年春季就业创业线上讲座即将精彩呈现！</t>
  </si>
  <si>
    <t>2025-01-25 05:25:00</t>
  </si>
  <si>
    <t>2月5日，特别推出东西部劳务协作就业、创业线上专题讲座，旨在为广大大理求职者解读最新就业形势、分享实用求职技巧、剖析创业成功案例，提升求职者的就业和创业能力，敬请期待！，立足当前就业形势，如何提升自己的职业生涯规划，擅长领域：面试求职技巧、自我认知与职业选择、职业性格与职业能力，中国职业技术教育学会教学工作委员会职业素养和创新创业教育研究中心副主任，[OCR_O][IMG0]2025年东西部劳务</t>
  </si>
  <si>
    <t>2025-01-24 17:27:00</t>
  </si>
  <si>
    <t>2月5日，特别推出东西部劳务协作就业、创业线上专题讲座，旨在为广大大理求职者解读最新就业形势、分享实用求职技巧、剖析创业成功案例，提升求职者的就业和创业能力，敬请期待！Part.1就业篇01.讲座主题立足当前就业形势，如何提升自己的职业生涯规划02.讲座时间及线上讲座入口时间：2025年2月5日，企业管理咨询有限公司总经理上海外国语大学国际工商管理学院企业导师擅长领域：面试求职技巧、自我认知与职</t>
  </si>
  <si>
    <t>2025-01-24 14:03:54</t>
  </si>
  <si>
    <t>2月5日，特别推出东西部劳务协作就业、创业线上专题讲座，旨在为广大大理求职者解读最新就业形势、分享实用求职技巧、剖析创业成功案例，提升求职者的就业和创业能力，敬请期待！Part.1就业篇01.讲座主题立足当前就业形势，如何提升自己的职业生涯规划02.讲座时间及线上讲座入口时间：2025年2月5日，03.主讲人简介黄成新上海市就业服务专家荀才，企业管理咨询有限公司总经理上海外国语大学国际工商管理学</t>
  </si>
  <si>
    <t>2025-01-24 12:42:00</t>
  </si>
  <si>
    <t>2月5日，特别推出东西部劳务协作就业、创业线上专题讲座，旨在为广大大理求职者解读最新就业形势、分享实用求职技巧、剖析创业成功案例，提升求职者的就业和创业能力，敬请期待！，立足当前就业形势，如何提升自己的职业生涯规划，擅长领域：面试求职技巧、自我认知与职业选择、职业性格与职业能力，中国职业技术教育学会教学工作委员会职业素养和创新创业教育研究中心副主任。</t>
  </si>
  <si>
    <t>2025-01-24 12:28:07</t>
  </si>
  <si>
    <t>2月5日，特别推出东西部劳务协作就业、创业线上专题讲座，旨在为广大大理求职者解读最新就业形势、分享实用求职技巧、剖析创业成功案例，提升求职者的就业和创业能力，敬请期待！Part.1就业篇01.，讲座主题立足当前就业形势，如何提升自己的职业生涯规划02.，企业管理咨询有限公司总经理上海外国语大学国际工商管理学院企业导师擅长领域：面试求职技巧、自我认知与职业选择、职业性格与职业能力，讲座主题先在纸上</t>
  </si>
  <si>
    <t>2025-01-24 12:01:00</t>
  </si>
  <si>
    <t>2月5日，特别推出东西部劳务协作就业、创业线上专题讲座，旨在为广大大理求职者解读最新就业形势、分享实用求职技巧、剖析创业成功案例，提升求职者的就业和创业能力，敬请期待！，立足当前就业形势，如何提升自己的职业生涯规划，擅长领域：面试求职技巧、自我认知与职业选择、职业性格与职业能力，中国职业技术教育学会教学工作委员会职业素养和创新创业教育研究中心副主任，前往「腾讯会议App-头像一扫一扫」扫码入会。</t>
  </si>
  <si>
    <t>2025-01-24 11:31:06</t>
  </si>
  <si>
    <t>线上专题讲座，旨在为广大大理求职者解读最新就业形势、分享实用求职技巧、剖析创业成功案例，提升求职者的就业和创业能力，敬请期待！，立足当前就业形势，如何提升自己的职业生涯规划，：面试求职技巧、自我认知与职业选择、职业性格与职业能力，中国职业技术教育学会教学工作委员会职业素养和创新创业教育研究中心副主任，：创业策划与风险控制、创业指导与政策支持、创业能力与知识提升，特别声明：本文经上观新闻客户端的“</t>
  </si>
  <si>
    <t>2025-01-24 10:08:40</t>
  </si>
  <si>
    <t>2025-01-24 10:08:00</t>
  </si>
  <si>
    <t>上海专科自主招生试点院校增至36所，3月7日起可填报志愿</t>
  </si>
  <si>
    <t>2025-01-23 18:01:12</t>
  </si>
  <si>
    <t>新京报</t>
  </si>
  <si>
    <t>上海市教育委员会公布了《2025年上海市部分普通高校专科层次实行依法自主招生改革试点方案》，上海市教委表示依据国家有关法规以及相关文件精神，2025年上海继续在部分普通高校专科层次实行依法自主招生改革试点，《方案》显示，2025年上海专科自主招生共有36所试点院校参加，相较去年新增一所，为上海浦东职业技术学院，根据方案，志愿填报时间为3月7日9:00-21:00，3月8日9:00-15:00，自</t>
  </si>
  <si>
    <t>2025-01-23 18:00:53</t>
  </si>
  <si>
    <t>新京报讯上海市教育委员会公布了《2025年上海市部分普通高校专科层次实行依法自主招生改革试点方案》，上海市教委表示依据国家有关法规以及相关文件精神，2025年上海继续在部分普通高校专科层次实行依法自主招生改革试点，《方案》显示，2025年上海专科自主招生共有36所试点院校参加，相较去年新增一所，为上海浦东职业技术学院，根据方案，志愿填报时间为3月7日9:00-21:00，3月8日9:00-15:</t>
  </si>
  <si>
    <t>报网</t>
  </si>
  <si>
    <t>2025-01-23 18:00:00</t>
  </si>
  <si>
    <t>3月7日9:00-21:00，3月8日9:00-15:00，考生登录“上海招考热线”进行网上填报志愿，上海市教委表示依据国家有关法规以及相关文件精神，2025年上海继续在部分普通高校专科层次实行依法自主招生改革试点，上海市教育委员会公布了《2025年上海市部分普通高校专科层次实行依法自主招生改革试点方案》，《方案》显示，2025年上海专科自主招生共有36所试点院校参加，相较去年新增一所，为上海浦</t>
  </si>
  <si>
    <t>上海专科自主招生试点院校扩容至36所 3月7日起可填报志愿</t>
  </si>
  <si>
    <t>2025-01-23 17:44:51</t>
  </si>
  <si>
    <t>　　2025年上海专科自主招生试点院校扩容，从去年的35所增加为今年的36所，上海市教委表示依据国家有关法规以及相关文件精神，2025年上海继续在部分普通高校专科层次实行依法自主招生改革试点，　　上海市教委1月22日公布了《2025年上海市部分普通高校专科层次实行依法自主招生改革试点方案》，《方案》显示，2025年上海专科自主招生共有36所试点院校参加，相较去年新增一所，为上海浦东职业技术学院，</t>
  </si>
  <si>
    <t>上海市教委：36所院校试点专科层次自主招生！</t>
  </si>
  <si>
    <t>2025-01-23 17:03:00</t>
  </si>
  <si>
    <t>近日，上海市教育委员会发布《2025年上海市部分普通高校专科层次实行依法自主招生改革试点方案》，3月7日9:00—21:00，3月8日9:00—15:00，考生登录“上海招考热线”，考生可填报1所院校志愿，最多可填报4个专业志愿，普通类专业志愿与艺体类专业志愿之间不得兼报，同时须勾选是否服从专业调剂，志愿填报期间，考生可修改本人填报志愿信息，3月8日15:00系统关闭后不再予以修改和补填，3月1</t>
  </si>
  <si>
    <t>2025-01-23 16:31:35</t>
  </si>
  <si>
    <t>上海专科自主招生试点院校扩容至36所，3月7日起可填报志愿</t>
  </si>
  <si>
    <t>2025-01-23 14:42:00</t>
  </si>
  <si>
    <t>新商业网</t>
  </si>
  <si>
    <t>2025年上海专科自主招生试点院校扩容，从去年的35所增加为今年的36所，上海市教委表示依据国家有关法规以及相关文件精神，2025年上海继续在部分普通高校专科层次实行依法自主招生改革试点，《方案》显示，2025年上海专科自主招生共有36所试点院校参加，相较去年新增一所，为上海浦东职业技术学院，根据方案，志愿填报时间为3月7日9:00-21:00，3月8日9:00-15:00，自主招生专科院校入学</t>
  </si>
  <si>
    <t>2025-01-23 12:20:28</t>
  </si>
  <si>
    <t>2025年上海专科自主招生试点院校扩容，从去年的35所增加为今年的36所，上海市教委上海市教委表示依据国家有关法规以及相关文件精神，2025年上海继续在部分普通高校专科层次实行依法自主招生改革试点，《方案》显示，2025年上海专科自主招生共有36所试点院校参加，相较去年新增一所，为上海浦东职业技术学院，根据方案，志愿填报时间为3月7日9:00-21:00，3月8日9:00-15:00，自主招生专</t>
  </si>
  <si>
    <t>2025-01-23 12:19:49</t>
  </si>
  <si>
    <t>2025-01-23 12:18:00</t>
  </si>
  <si>
    <t>2025-01-23 12:17:51</t>
  </si>
  <si>
    <t>2025-01-23 12:17:00</t>
  </si>
  <si>
    <t>星辰大海｜国内首个职教AI大模型是啥样？AI大模型，职校在探索</t>
  </si>
  <si>
    <t>2025-01-22 08:37:52</t>
  </si>
  <si>
    <t>中青在线</t>
  </si>
  <si>
    <t>李思 张渺</t>
  </si>
  <si>
    <t>11月23日，在广东珠海举行的2024职业院校人工智能赋能教育教学高峰论坛暨AIGC技术应用研讨会上正式对外发布，中青报·中青网记者假装以学生身份输入了这个问题我是学校的大二学生，已经有4门课不及格，我该怎么办？目前，“知行大先生”注册用户数为3200余人，包括200多名教师和3000多名学生，但申请加入联盟的院校已经达到200余家，在人工智能的冲击下，许多职业院校早已开始变革，探索新路径，聚焦</t>
  </si>
  <si>
    <t>2025-01-22 08:24:00</t>
  </si>
  <si>
    <t>李思张渺</t>
  </si>
  <si>
    <t>2025-01-22 08:21:00</t>
  </si>
  <si>
    <t>11月23日，在广东珠海举行的2024职业院校人工智能赋能教育教学高峰论坛暨AIGC技术应用研讨会上正式对外发布，目前，“知行大先生”注册用户数为3200余人，包括200多名教师和3000多名学生，但申请加入联盟的院校已经达到200余家，在人工智能的冲击下，许多职业院校早已开始变革，探索新路径，聚焦于人工智能技术和职业教育的融合，从全国职业院校专业设置管理与公共信息服务平台上查询“高等职业教育专</t>
  </si>
  <si>
    <t>2025-01-22 08:15:00</t>
  </si>
  <si>
    <t>11月23日，在广东珠海举行的2024职业院校人工智能赋能教育教学高峰论坛暨AIGC技术应用研讨会上正式对外发布，目前，“知行大先生”注册用户数为3200余人，包括200多名教师和3000多名学生，但申请加入联盟的院校已经达到200余家，　　在人工智能的冲击下，许多职业院校早已开始变革，探索新路径，聚焦于人工智能技术和职业教育的融合，　　从全国职业院校专业设置管理与公共信息服务平台上查询“高等职</t>
  </si>
  <si>
    <t>通辽职业学院开启对外合作“倍速”模式</t>
  </si>
  <si>
    <t>2025-01-14 14:53:00</t>
  </si>
  <si>
    <t>　　2024年，通辽职业学院始终将对外合作置于“新双高”建设、服务地方经济社会发展的坐标系中，以推动高水平国内外交流合作平台建设、职业教育人才培养等对外合作为契机，携手各方谋大势、担大义、行大道，聚焦建构中国特色职业教育对外合作体系和推进西辽河文明等地方优秀传统文化创造性输出创新性发展，为赓续中华文脉、推动职业教育国际化贡献合力，与区域发展同频共振　　充分利用“京蒙”“沪蒙”“陕蒙”等帮扶机遇，</t>
  </si>
  <si>
    <t>云南现代职业技术学院成为全国开发区职业教育发展联盟和全国新能源智能制造汽车行业产教融合共同体成员单位</t>
  </si>
  <si>
    <t>2025-01-13 18:56:03</t>
  </si>
  <si>
    <t>文旅头条</t>
  </si>
  <si>
    <t>12月7日，全国开发区职业教育发展联盟2024年会在广州召开，会议由广州科技贸易职业学院承办、无锡科技职业学院协办，建强专业兴产业”，相关政府部门领导、开发区协会负责人，联盟学校、企业、科研院所负责人，产业与职教领域专家学者等百余人齐聚一堂，分享了产业园区与职业院校高质量融合发展的成果与案例，探讨提升办学能力高水平、产教融合高质量的实践路径，云南现代职业技术学院被推选为联盟副理事长单位，共同体由</t>
  </si>
  <si>
    <t>2025-01-13 18:56:00</t>
  </si>
  <si>
    <t>中国高职院校师资水平Top100发布，河南7所上榜！</t>
  </si>
  <si>
    <t>2025-01-09 16:34:00</t>
  </si>
  <si>
    <t>大象新闻</t>
  </si>
  <si>
    <t>1月9日，软科发布“中国高职院校师资水平Top。</t>
  </si>
  <si>
    <t>风雨同舟，守望相助！沪上高校助力受灾学子渡过难关</t>
  </si>
  <si>
    <t>2025-01-08 20:33:00</t>
  </si>
  <si>
    <t>近日，西藏日喀则市定日县等地发生地震，造成重大人员伤亡，大量房屋倒塌，地震发生后，上海各高校迅速行动起来，立即开展受灾情况摸排，确认同学们的安全，及时向遇到突发灾害的学生提供关心和帮助，各高校通过官网、官微等渠道发布通知，开展地震受灾学生关心、摸排和应急资助工作，各高校还通过微信群等逐一排查反馈，确保受地震灾害影响的学生能及时获得相应帮助，[OCR_O][IMG0]重要通知！一起渡难关，复旦与你</t>
  </si>
  <si>
    <t>2025-01-08 20:01:49</t>
  </si>
  <si>
    <t>近日，西藏日喀则市定日县等地发生地震，造成重大人员伤亡，大量房屋倒塌，地震发生后，上海各高校迅速行动起来，立即开展受灾情况摸排，确认同学们的安全，及时向遇到突发灾害的学生提供关心和帮助，特别声明：本文经上观新闻客户端的“上观号”入驻单位授权发布，仅代表该入驻单位观点，“上观新闻”仅为信息发布平台，如您认为发布内容侵犯您的相关权益，请联系删除，[OCR_O][IMG0]重要通知！一起渡难关，复旦与</t>
  </si>
  <si>
    <t>2025-01-08 18:11:00</t>
  </si>
  <si>
    <t>转载请注明上海市教委政务微信“上海教育”近日，西藏日喀则市定日县等地发生地震，造成重大人员伤亡，大量房屋倒塌，地震发生后，上海各高校迅速行动起来，立即开展受灾情况摸排，确认同学们的安全，及时向遇到突发灾害的学生提供关心和帮助，各高校通过官网、官微等渠道发布通知，开展地震受灾学生关心、摸排和应急资助工作，复旦大学打开APP，查看更多精彩图片上海交通大学同济大学华东师范大学华东理工大学上海外国语大学</t>
  </si>
  <si>
    <t>第二届上海市职业院校学生创新创意大赛获奖名单公布</t>
  </si>
  <si>
    <t>2025-01-08 10:32:46</t>
  </si>
  <si>
    <t>    根据《上海市教育委员会关于举办第二届上海市职业院校学生创新创意大赛的通知》，要求，市教委组织开展了第二届上海市职业院校学生创新创意大赛赛事工作，经校级初赛、市级复赛、决赛、网上公示等环节，最终产生金奖104个、银奖，    优秀组织奖[OCR_O][IMG0]上海邦德职业技术学院，上海第二工业大学附属浦东振华外经职业技术学校，上海市高等教育学会高职高专创业教育专业委员会[BR][IMG1</t>
  </si>
  <si>
    <t>    根据《上海市教育委员会关于举办第二届上海市职业院校学生创新创意大赛的通知》，要求，市教委组织开展了第二届上海市职业院校学生创新创意大赛赛事工作，经校级初赛、市级复赛、决赛、网上公示等环节，最终产生金奖104个、银奖，    优秀组织奖[OCR_O][IMG3]上海邦德职业技术学院，上海第二工业大学附属浦东振华外经职业技术学校，上海市高等教育学会高职高专创业教育专业委员会[BR]。</t>
  </si>
  <si>
    <t>教育帮扶 | 沪喀职教联盟召开工作推进会</t>
  </si>
  <si>
    <t>2025-01-07 20:01:00</t>
  </si>
  <si>
    <t>近日，2024年沪喀职教联盟工作推进会召开，分设上海会场与喀什会场，上海市教委副主任赵震、上海市援疆前指副总指挥王陈、联盟秘书长单位上海城建职业学院党委书记褚敏、院长张峥嵘、喀什地区教育局党组书记麦尔比亚·玉素甫等出席会议，会上，张峥嵘总结了2024年度联盟工作情况，上海教育科学研究院职教所、上海电子信息职业技术学院、喀什理工职业技术学院、上海市西南工程学校、泽普县中等职业学校等联盟成员单位进行</t>
  </si>
  <si>
    <t>沪喀职教联盟召开工作推进会</t>
  </si>
  <si>
    <t>2025-01-07 19:33:48</t>
  </si>
  <si>
    <t>2025-01-07 15:15:07</t>
  </si>
  <si>
    <t>根据《上海市教育委员会关于举办第二届上海市职业院校学生创新创意大赛的通知》，要求，市教委组织开展了第二届上海市职业院校学生创新创意大赛赛事工作，经校级初赛、市级复赛、决赛、网上公示等环节，最终产生金奖104个、银奖，非遗臻品汇-致力于成为发扬非遗文化的护航者，《SAT研学一STEM与珠算融合教育开拓者》，海中侨职业技术大学[BR][IMG3]上海邦德职业技术学院，上海第二工业大学附属浦东振华外经</t>
  </si>
  <si>
    <t>2025-01-07 14:02:00</t>
  </si>
  <si>
    <t>根据《上海市教育委员会关于举办第二届上海市职业院校学生创新创意大赛的通知》，要求，市教委组织开展了第二届上海市职业院校学生创新创意大赛赛事工作，经校级初赛、市级复赛、决赛、网上公示等环节，最终产生金奖104个、银奖，乍遗臻品汇·致力于成为发扬非遗文化的护航者，李嘉桐，许球[BR][IMG3]上海邦德职业技术学院，上海第二工业大学附属浦东振华外经职业技术学校，上海市高等教育学会高职高专创业教育专业</t>
  </si>
  <si>
    <t>2025-01-07 13:47:26</t>
  </si>
  <si>
    <t>根据《上海市教育委员会关于举办第二届上海市职业院校学生创新创意大赛的通知》，要求，市教委组织开展了第二届上海市职业院校学生创新创意大赛赛事工作，经校级初赛、市级复赛、决赛、网上公示等环节，最终产生金奖104个、银奖200个、铜奖238个、优胜奖250个及优秀指导教师奖、优秀组织奖，和小育一起来看名单——特别声明：本文经上观新闻客户端的“上观号”入驻单位授权发布，仅代表该入驻单位观点，“上观新闻”</t>
  </si>
  <si>
    <t>2025-01-07 13:30:53</t>
  </si>
  <si>
    <t>根据《上海市教育委员会关于举办第二届上海市职业院校学生创新创意大赛的通知》，要求，市教委组织开展了第二届上海市职业院校学生创新创意大赛赛事工作，经校级初赛、市级复赛、决赛、网上公示等环节，最终产生金奖104个、银奖，特别声明：本文经上观新闻客户端的“上观号”入驻单位授权发布，仅代表该入驻单位观点，“上观新闻”仅为信息发布平台，如您认为发布内容侵犯您的相关权益，请联系删除，大[BR][IMG3]上</t>
  </si>
  <si>
    <t>2025-01-07 12:54:00</t>
  </si>
  <si>
    <t>转载请注明上海市教委政务微信“上海教育”根据《上海市教育委员会关于举办第二届上海市职业院校学生创新创意大赛的通知》，要求，市教委组织开展了第二届上海市职业院校学生创新创意大赛赛事工作，经校级初赛、市级复赛、决赛、网上公示等环节，最终产生金奖104个、银奖，优秀指导教师奖优秀组织奖编辑：邓允[OCR_O][IMG0]页目名种，海中侨职业技术大学[BR][IMG3]上海邦德职业技术学院，上海第二工业</t>
  </si>
  <si>
    <t>金山这个二期工程最新进展</t>
  </si>
  <si>
    <t>2025-01-06 15:05:30</t>
  </si>
  <si>
    <t>近日，记者在位于金山区学府路1300号的上海电子信息职业技术学院金山校区看到，该校区的二期修缮工程已经进入最后施工阶段，工人们正紧张有序地进行各项作业，确保工程按时完成，在8-10号学生宿舍区域，工人们正在对外立面进行最后的粉刷，部分楼层的窗框和外墙面已焕然一新，与此同时，化工楼的屋面和室内装修也已基本完成，施工人员已经对电气、给排水等系统进行最后的调试和检查，1号和2号变电所的设备更新也进入了</t>
  </si>
  <si>
    <t>2025-01-06 14:24:03</t>
  </si>
  <si>
    <t>奔流新闻</t>
  </si>
  <si>
    <t>2025-01-06 14:16:07</t>
  </si>
  <si>
    <t>汇聚志愿力量，营造文明新风尚</t>
  </si>
  <si>
    <t>2025-01-05 08:49:42</t>
  </si>
  <si>
    <t>人民日报</t>
  </si>
  <si>
    <t>为提升街区文明程度，提高居民幸福感，甘泉路街道西乡路文明示范街区积极行动、务实奋进，通过开展一系列活动促进邻里交流，擦亮文化底色，凝聚文明力量，文化铸魂，点亮街区文明之光文化是街区的灵魂，也是凝聚居民共识的重要纽带，街道邀请专业摄影师为沿街单位、居民区举办摄影讲座，并进行现场实操指导，活动不仅提升了大家的摄影技巧，更激发了他们对生活的热爱和对美的追求，大家纷纷拿起相机，记录下街区的美好瞬间，成为</t>
  </si>
  <si>
    <t>2025-01-05 07:37:00</t>
  </si>
  <si>
    <t>为提升街区文明程度，提高居民幸福感，甘泉路街道西乡路文明示范街区积极行动、务实奋进，通过开展一系列活动促进邻里交流，擦亮文化底色，凝聚文明力量，文化是街区的灵魂，也是凝聚居民共识的重要纽带，街道邀请专业摄影师为沿街单位、居民区举办摄影讲座，并进行现场实操指导，活动不仅提升了大家的摄影技巧，更激发了他们对生活的热爱和对美的追求，大家纷纷拿起相机，记录下街区的美好瞬间，成为了街区文化的一道亮丽风景线</t>
  </si>
  <si>
    <t>2025-01-04 19:28:56</t>
  </si>
  <si>
    <t>2025-01-04 19:28:55</t>
  </si>
  <si>
    <t>周到客户端</t>
  </si>
  <si>
    <t>2025-01-04 19:28:54</t>
  </si>
  <si>
    <t>2025-01-04 19:28:00</t>
  </si>
  <si>
    <t>2025-01-04 13:45:58</t>
  </si>
  <si>
    <t>为街区注入新的活力为提升街区文明程度，提高居民幸福感，甘泉路街道西乡路文明示范街区积极行动、务实奋进，通过开展一系列活动促进邻里交流，擦亮文化底色，凝聚文明力量，文化铸魂，点亮街区文明之光文化是街区的灵魂，也是凝聚居民共识的重要纽带，街道邀请专业摄影师为沿街单位、居民区举办摄影讲座，并进行现场实操指导，活动不仅提升了大家的摄影技巧，更激发了他们对生活的热爱和对美的追求，大家纷纷拿起相机，记录下街</t>
  </si>
  <si>
    <t>2025-01-04 13:45:36</t>
  </si>
  <si>
    <t>为提升街区文明程度，提高居民幸福感，甘泉路街道西乡路文明示范街区积极行动、务实奋进，通过开展一系列活动促进邻里交流，擦亮文化底色，凝聚文明力量，文化铸魂，点亮街区文明之光文化是街区的灵魂，也是凝聚居民共识的重要纽带，街道邀请专业摄影师为沿街单位、居民区举办摄影讲座，并进行现场实操指导，活动不仅提升了大家的摄影技巧，更激发了他们对生活的热爱和对美的追求，大家纷纷拿起相机，记录下街区的美好瞬间，成了</t>
  </si>
  <si>
    <t>2025-01-04 13:45:35</t>
  </si>
  <si>
    <t>2025-01-04 13:45:00</t>
  </si>
  <si>
    <t>为街区注入新的活力打开APP，查看更多精彩图片为提升街区文明程度，提高居民幸福感，甘泉路街道西乡路文明示范街区积极行动、务实奋进，通过开展一系列活动促进邻里交流，擦亮文化底色，凝聚文明力量，文化铸魂，点亮街区文明之光文化是街区的灵魂，也是凝聚居民共识的重要纽带，街道邀请专业摄影师为沿街单位、居民区举办摄影讲座，并进行现场实操指导，活动不仅提升了大家的摄影技巧，更激发了他们对生活的热爱和对美的追求</t>
  </si>
  <si>
    <t>2025-01-04 12:07:40</t>
  </si>
  <si>
    <t>2025-01-04 12:06:00</t>
  </si>
  <si>
    <t>2025-01-04 08:43:00</t>
  </si>
  <si>
    <t>1月2日，记者在位于金山区学府路1300号的上海电子信息职业技术学院金山校区看到，该校区的二期修缮工程已经进入最后施工阶段，工人们正紧张有序地进行各项作业，确保工程按时完成，在8-10号学生宿舍区域，工人们正在对外立面进行最后的粉刷，部分楼层的窗框和外墙面已焕然一新，与此同时，化工楼的屋面和室内装修也已基本完成，施工人员已经对电气、给排水等系统进行最后的调试和检查，1号和2号变电所的设备更新也进</t>
  </si>
  <si>
    <t>2025-01-04 06:03:18</t>
  </si>
  <si>
    <t>2025-01-04 06:03:00</t>
  </si>
  <si>
    <t>2025-01-03 17:24:34</t>
  </si>
  <si>
    <t>2025-01-03 13:05:52</t>
  </si>
  <si>
    <t>2025-01-03 13:01:00</t>
  </si>
  <si>
    <t>2025-01-03 12:53:00</t>
  </si>
  <si>
    <t>2025-01-03 12:31:10</t>
  </si>
  <si>
    <t>2025-01-03 11:03:40</t>
  </si>
  <si>
    <t>2025-01-03 11:03:00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</si>
</sst>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11"/>
      <color indexed="9"/>
      <name val="宋体"/>
      <charset val="134"/>
    </font>
    <font>
      <sz val="11"/>
      <name val="宋体"/>
      <charset val="134"/>
    </font>
    <font>
      <sz val="11"/>
      <color indexed="3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6B86B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3"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4" borderId="5" applyNumberFormat="0" applyAlignment="0" applyProtection="0">
      <alignment vertical="center"/>
    </xf>
    <xf numFmtId="0" fontId="14" fillId="5" borderId="6" applyNumberFormat="0" applyAlignment="0" applyProtection="0">
      <alignment vertical="center"/>
    </xf>
    <xf numFmtId="0" fontId="15" fillId="5" borderId="5" applyNumberFormat="0" applyAlignment="0" applyProtection="0">
      <alignment vertical="center"/>
    </xf>
    <xf numFmtId="0" fontId="16" fillId="6"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5">
    <xf numFmtId="0" fontId="0" fillId="0" borderId="0" xfId="0" applyFont="1">
      <alignment vertical="center"/>
    </xf>
    <xf numFmtId="0" fontId="1" fillId="2" borderId="1" xfId="0" applyFont="1" applyFill="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3" fillId="0" borderId="1" xfId="0"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602"/>
  <sheetViews>
    <sheetView tabSelected="1" workbookViewId="0">
      <selection activeCell="B81" sqref="B81"/>
    </sheetView>
  </sheetViews>
  <sheetFormatPr defaultColWidth="9" defaultRowHeight="13.5"/>
  <cols>
    <col min="1" max="1" width="9" customWidth="1"/>
    <col min="2" max="2" width="46" customWidth="1"/>
    <col min="3" max="5" width="21" customWidth="1"/>
    <col min="6" max="6" width="14.3416666666667" customWidth="1"/>
    <col min="7" max="7" width="25.4833333333333" customWidth="1"/>
    <col min="8" max="8" width="58.625" customWidth="1"/>
    <col min="9" max="9" width="68.25" customWidth="1"/>
  </cols>
  <sheetData>
    <row r="1" ht="25" customHeight="1" spans="1:10">
      <c r="A1" s="1" t="s">
        <v>0</v>
      </c>
      <c r="B1" s="1" t="s">
        <v>1</v>
      </c>
      <c r="C1" s="1" t="s">
        <v>2</v>
      </c>
      <c r="D1" s="1" t="s">
        <v>3</v>
      </c>
      <c r="E1" s="1" t="s">
        <v>4</v>
      </c>
      <c r="F1" s="1" t="s">
        <v>5</v>
      </c>
      <c r="G1" s="1" t="s">
        <v>6</v>
      </c>
      <c r="H1" s="1" t="s">
        <v>7</v>
      </c>
      <c r="I1" s="1" t="s">
        <v>8</v>
      </c>
    </row>
    <row r="2" ht="23" customHeight="1" spans="1:10">
      <c r="A2" s="2">
        <v>1</v>
      </c>
      <c r="B2" s="3" t="s">
        <v>9</v>
      </c>
      <c r="C2" s="2" t="s">
        <v>10</v>
      </c>
      <c r="D2" s="2" t="s">
        <v>11</v>
      </c>
      <c r="E2" s="2" t="s">
        <v>12</v>
      </c>
      <c r="F2" s="2" t="s">
        <v>13</v>
      </c>
      <c r="G2" s="2" t="s">
        <v>14</v>
      </c>
      <c r="H2" s="4" t="str">
        <f>HYPERLINK("https://www.toutiao.com/article/7586922437153931786/","https://www.toutiao.com/article/7586922437153931786/")</f>
        <v>https://www.toutiao.com/article/7586922437153931786/</v>
      </c>
      <c r="I2" s="3" t="s">
        <v>15</v>
      </c>
      <c r="J2" t="s">
        <v>16</v>
      </c>
    </row>
    <row r="3" ht="23" customHeight="1" spans="1:10">
      <c r="A3" s="2">
        <v>2</v>
      </c>
      <c r="B3" s="3" t="s">
        <v>17</v>
      </c>
      <c r="C3" s="2" t="s">
        <v>18</v>
      </c>
      <c r="D3" s="2" t="s">
        <v>19</v>
      </c>
      <c r="E3" s="2" t="s">
        <v>20</v>
      </c>
      <c r="F3" s="2" t="s">
        <v>13</v>
      </c>
      <c r="G3" s="2" t="s">
        <v>21</v>
      </c>
      <c r="H3" s="4" t="str">
        <f>HYPERLINK("https://c.m.163.com/news/a/KHCHKJ1M055040N3.html","https://c.m.163.com/news/a/KHCHKJ1M055040N3.html")</f>
        <v>https://c.m.163.com/news/a/KHCHKJ1M055040N3.html</v>
      </c>
      <c r="I3" s="3" t="s">
        <v>22</v>
      </c>
      <c r="J3" t="s">
        <v>16</v>
      </c>
    </row>
    <row r="4" ht="23" customHeight="1" spans="1:10">
      <c r="A4" s="2">
        <v>3</v>
      </c>
      <c r="B4" s="3" t="s">
        <v>17</v>
      </c>
      <c r="C4" s="2" t="s">
        <v>23</v>
      </c>
      <c r="D4" s="2" t="s">
        <v>24</v>
      </c>
      <c r="E4" s="2" t="s">
        <v>25</v>
      </c>
      <c r="F4" s="2" t="s">
        <v>13</v>
      </c>
      <c r="G4" s="2" t="s">
        <v>26</v>
      </c>
      <c r="H4" s="4" t="str">
        <f>HYPERLINK("https://edu.online.sh.cn/education/gb/content/2025-12/22/content_10409718.htm","https://edu.online.sh.cn/education/gb/content/2025-12/22/content_10409718.htm")</f>
        <v>https://edu.online.sh.cn/education/gb/content/2025-12/22/content_10409718.htm</v>
      </c>
      <c r="I4" s="3" t="s">
        <v>27</v>
      </c>
      <c r="J4" t="s">
        <v>16</v>
      </c>
    </row>
    <row r="5" ht="23" customHeight="1" spans="1:10">
      <c r="A5" s="2">
        <v>4</v>
      </c>
      <c r="B5" s="3" t="s">
        <v>17</v>
      </c>
      <c r="C5" s="2" t="s">
        <v>28</v>
      </c>
      <c r="D5" s="2" t="s">
        <v>29</v>
      </c>
      <c r="E5" s="2" t="s">
        <v>30</v>
      </c>
      <c r="F5" s="2" t="s">
        <v>13</v>
      </c>
      <c r="G5" s="2" t="s">
        <v>26</v>
      </c>
      <c r="H5" s="4" t="str">
        <f>HYPERLINK("https://finance.sina.cn/2025-12-22/detail-inhcruin9309957.d.html","https://finance.sina.cn/2025-12-22/detail-inhcruin9309957.d.html")</f>
        <v>https://finance.sina.cn/2025-12-22/detail-inhcruin9309957.d.html</v>
      </c>
      <c r="I5" s="3" t="s">
        <v>22</v>
      </c>
      <c r="J5" t="s">
        <v>16</v>
      </c>
    </row>
    <row r="6" ht="23" customHeight="1" spans="1:10">
      <c r="A6" s="2">
        <v>5</v>
      </c>
      <c r="B6" s="3" t="s">
        <v>17</v>
      </c>
      <c r="C6" s="2" t="s">
        <v>28</v>
      </c>
      <c r="D6" s="2" t="s">
        <v>11</v>
      </c>
      <c r="E6" s="2" t="s">
        <v>20</v>
      </c>
      <c r="F6" s="2" t="s">
        <v>13</v>
      </c>
      <c r="G6" s="2" t="s">
        <v>21</v>
      </c>
      <c r="H6" s="4" t="str">
        <f>HYPERLINK("https://www.toutiao.com/article/7586492873126838803/","https://www.toutiao.com/article/7586492873126838803/")</f>
        <v>https://www.toutiao.com/article/7586492873126838803/</v>
      </c>
      <c r="I6" s="3" t="s">
        <v>22</v>
      </c>
      <c r="J6" t="s">
        <v>16</v>
      </c>
    </row>
    <row r="7" ht="23" customHeight="1" spans="1:10">
      <c r="A7" s="2">
        <v>6</v>
      </c>
      <c r="B7" s="3" t="s">
        <v>17</v>
      </c>
      <c r="C7" s="2" t="s">
        <v>31</v>
      </c>
      <c r="D7" s="2" t="s">
        <v>11</v>
      </c>
      <c r="E7" s="2" t="s">
        <v>32</v>
      </c>
      <c r="F7" s="2" t="s">
        <v>13</v>
      </c>
      <c r="G7" s="2" t="s">
        <v>21</v>
      </c>
      <c r="H7" s="4" t="str">
        <f>HYPERLINK("https://www.toutiao.com/article/7586492641812611622/","https://www.toutiao.com/article/7586492641812611622/")</f>
        <v>https://www.toutiao.com/article/7586492641812611622/</v>
      </c>
      <c r="I7" s="3" t="s">
        <v>22</v>
      </c>
      <c r="J7" t="s">
        <v>16</v>
      </c>
    </row>
    <row r="8" ht="23" customHeight="1" spans="1:10">
      <c r="A8" s="2">
        <v>7</v>
      </c>
      <c r="B8" s="3" t="s">
        <v>17</v>
      </c>
      <c r="C8" s="2" t="s">
        <v>33</v>
      </c>
      <c r="D8" s="2" t="s">
        <v>34</v>
      </c>
      <c r="E8" s="2" t="s">
        <v>32</v>
      </c>
      <c r="F8" s="2" t="s">
        <v>13</v>
      </c>
      <c r="G8" s="2" t="s">
        <v>21</v>
      </c>
      <c r="H8" s="4" t="str">
        <f>HYPERLINK("https://kandianshare.html5.qq.com/v2/news/4038929608683069762","https://kandianshare.html5.qq.com/v2/news/4038929608683069762")</f>
        <v>https://kandianshare.html5.qq.com/v2/news/4038929608683069762</v>
      </c>
      <c r="I8" s="3" t="s">
        <v>22</v>
      </c>
      <c r="J8" t="s">
        <v>16</v>
      </c>
    </row>
    <row r="9" ht="23" customHeight="1" spans="1:10">
      <c r="A9" s="2">
        <v>8</v>
      </c>
      <c r="B9" s="3" t="s">
        <v>17</v>
      </c>
      <c r="C9" s="2" t="s">
        <v>33</v>
      </c>
      <c r="D9" s="2" t="s">
        <v>35</v>
      </c>
      <c r="E9" s="2" t="s">
        <v>32</v>
      </c>
      <c r="F9" s="2" t="s">
        <v>13</v>
      </c>
      <c r="G9" s="2" t="s">
        <v>21</v>
      </c>
      <c r="H9" s="4" t="str">
        <f>HYPERLINK("https://new.qq.com/rain/a/20251222A028NA00","https://new.qq.com/rain/a/20251222A028NA00")</f>
        <v>https://new.qq.com/rain/a/20251222A028NA00</v>
      </c>
      <c r="I9" s="3" t="s">
        <v>22</v>
      </c>
      <c r="J9" t="s">
        <v>16</v>
      </c>
    </row>
    <row r="10" ht="23" customHeight="1" spans="1:10">
      <c r="A10" s="2">
        <v>9</v>
      </c>
      <c r="B10" s="3" t="s">
        <v>17</v>
      </c>
      <c r="C10" s="2" t="s">
        <v>36</v>
      </c>
      <c r="D10" s="2" t="s">
        <v>20</v>
      </c>
      <c r="E10" s="2" t="s">
        <v>25</v>
      </c>
      <c r="F10" s="2" t="s">
        <v>37</v>
      </c>
      <c r="G10" s="2" t="s">
        <v>21</v>
      </c>
      <c r="H10" s="4" t="str">
        <f>HYPERLINK("https://www.shobserver.com/staticsg/res/html/web/newsDetail.html?id=1039373","https://www.shobserver.com/staticsg/res/html/web/newsDetail.html?id=1039373")</f>
        <v>https://www.shobserver.com/staticsg/res/html/web/newsDetail.html?id=1039373</v>
      </c>
      <c r="I10" s="3" t="s">
        <v>22</v>
      </c>
      <c r="J10" t="s">
        <v>16</v>
      </c>
    </row>
    <row r="11" ht="23" customHeight="1" spans="1:10">
      <c r="A11" s="2">
        <v>10</v>
      </c>
      <c r="B11" s="3" t="s">
        <v>17</v>
      </c>
      <c r="C11" s="2" t="s">
        <v>38</v>
      </c>
      <c r="D11" s="2" t="s">
        <v>34</v>
      </c>
      <c r="E11" s="2" t="s">
        <v>20</v>
      </c>
      <c r="F11" s="2" t="s">
        <v>13</v>
      </c>
      <c r="G11" s="2" t="s">
        <v>21</v>
      </c>
      <c r="H11" s="4" t="str">
        <f>HYPERLINK("https://kandianshare.html5.qq.com/v2/news/3030123291638284610","https://kandianshare.html5.qq.com/v2/news/3030123291638284610")</f>
        <v>https://kandianshare.html5.qq.com/v2/news/3030123291638284610</v>
      </c>
      <c r="I11" s="3" t="s">
        <v>22</v>
      </c>
      <c r="J11" t="s">
        <v>16</v>
      </c>
    </row>
    <row r="12" ht="23" customHeight="1" spans="1:10">
      <c r="A12" s="2">
        <v>11</v>
      </c>
      <c r="B12" s="3" t="s">
        <v>17</v>
      </c>
      <c r="C12" s="2" t="s">
        <v>38</v>
      </c>
      <c r="D12" s="2" t="s">
        <v>35</v>
      </c>
      <c r="E12" s="2" t="s">
        <v>20</v>
      </c>
      <c r="F12" s="2" t="s">
        <v>13</v>
      </c>
      <c r="G12" s="2" t="s">
        <v>21</v>
      </c>
      <c r="H12" s="4" t="str">
        <f>HYPERLINK("https://new.qq.com/rain/a/20251222A0272W00","https://new.qq.com/rain/a/20251222A0272W00")</f>
        <v>https://new.qq.com/rain/a/20251222A0272W00</v>
      </c>
      <c r="I12" s="3" t="s">
        <v>22</v>
      </c>
      <c r="J12" t="s">
        <v>16</v>
      </c>
    </row>
    <row r="13" ht="23" customHeight="1" spans="1:10">
      <c r="A13" s="2">
        <v>12</v>
      </c>
      <c r="B13" s="3" t="s">
        <v>17</v>
      </c>
      <c r="C13" s="2" t="s">
        <v>39</v>
      </c>
      <c r="D13" s="2" t="s">
        <v>40</v>
      </c>
      <c r="E13" s="2" t="s">
        <v>20</v>
      </c>
      <c r="F13" s="2" t="s">
        <v>13</v>
      </c>
      <c r="G13" s="2" t="s">
        <v>21</v>
      </c>
      <c r="H13" s="4" t="str">
        <f>HYPERLINK("https://www.yoojia.com/article/9545651152821340670.html","https://www.yoojia.com/article/9545651152821340670.html")</f>
        <v>https://www.yoojia.com/article/9545651152821340670.html</v>
      </c>
      <c r="I13" s="3" t="s">
        <v>22</v>
      </c>
      <c r="J13" t="s">
        <v>16</v>
      </c>
    </row>
    <row r="14" ht="23" customHeight="1" spans="1:10">
      <c r="A14" s="2">
        <v>13</v>
      </c>
      <c r="B14" s="3" t="s">
        <v>17</v>
      </c>
      <c r="C14" s="2" t="s">
        <v>39</v>
      </c>
      <c r="D14" s="2" t="s">
        <v>41</v>
      </c>
      <c r="E14" s="2" t="s">
        <v>20</v>
      </c>
      <c r="F14" s="2" t="s">
        <v>13</v>
      </c>
      <c r="G14" s="2" t="s">
        <v>21</v>
      </c>
      <c r="H14" s="4" t="str">
        <f>HYPERLINK("https://mbd.baidu.com/newspage/data/landingshare?nid=news_9545651152821340670","https://mbd.baidu.com/newspage/data/landingshare?nid=news_9545651152821340670")</f>
        <v>https://mbd.baidu.com/newspage/data/landingshare?nid=news_9545651152821340670</v>
      </c>
      <c r="I14" s="3" t="s">
        <v>22</v>
      </c>
      <c r="J14" t="s">
        <v>16</v>
      </c>
    </row>
    <row r="15" ht="23" customHeight="1" spans="1:10">
      <c r="A15" s="2">
        <v>14</v>
      </c>
      <c r="B15" s="3" t="s">
        <v>17</v>
      </c>
      <c r="C15" s="2" t="s">
        <v>42</v>
      </c>
      <c r="D15" s="2" t="s">
        <v>43</v>
      </c>
      <c r="E15" s="2" t="s">
        <v>25</v>
      </c>
      <c r="F15" s="2" t="s">
        <v>13</v>
      </c>
      <c r="G15" s="2" t="s">
        <v>21</v>
      </c>
      <c r="H15" s="4" t="str">
        <f>HYPERLINK("https://www.jfdaily.com.cn/staticsg/res/html/web/newsDetail.html?id=1039373","https://www.jfdaily.com.cn/staticsg/res/html/web/newsDetail.html?id=1039373")</f>
        <v>https://www.jfdaily.com.cn/staticsg/res/html/web/newsDetail.html?id=1039373</v>
      </c>
      <c r="I15" s="3" t="s">
        <v>44</v>
      </c>
      <c r="J15" t="s">
        <v>16</v>
      </c>
    </row>
    <row r="16" ht="23" customHeight="1" spans="1:10">
      <c r="A16" s="2">
        <v>15</v>
      </c>
      <c r="B16" s="3" t="s">
        <v>17</v>
      </c>
      <c r="C16" s="2" t="s">
        <v>45</v>
      </c>
      <c r="D16" s="2" t="s">
        <v>46</v>
      </c>
      <c r="E16" s="2" t="s">
        <v>32</v>
      </c>
      <c r="F16" s="2" t="s">
        <v>13</v>
      </c>
      <c r="G16" s="2" t="s">
        <v>21</v>
      </c>
      <c r="H16" s="4" t="str">
        <f>HYPERLINK("https://www.sohu.com/a/967928045_121286085","https://www.sohu.com/a/967928045_121286085")</f>
        <v>https://www.sohu.com/a/967928045_121286085</v>
      </c>
      <c r="I16" s="3" t="s">
        <v>22</v>
      </c>
      <c r="J16" t="s">
        <v>16</v>
      </c>
    </row>
    <row r="17" ht="23" customHeight="1" spans="1:10">
      <c r="A17" s="2">
        <v>16</v>
      </c>
      <c r="B17" s="3" t="s">
        <v>17</v>
      </c>
      <c r="C17" s="2" t="s">
        <v>45</v>
      </c>
      <c r="D17" s="2" t="s">
        <v>46</v>
      </c>
      <c r="E17" s="2" t="s">
        <v>32</v>
      </c>
      <c r="F17" s="2" t="s">
        <v>37</v>
      </c>
      <c r="G17" s="2" t="s">
        <v>21</v>
      </c>
      <c r="H17" s="4" t="str">
        <f>HYPERLINK("https://3g.k.sohu.com/t/n960279468?serialId=85f3dfe03fd514095063ba113d91c8ba&amp;showType=960279468","https://3g.k.sohu.com/t/n960279468?serialId=85f3dfe03fd514095063ba113d91c8ba&amp;showType=960279468")</f>
        <v>https://3g.k.sohu.com/t/n960279468?serialId=85f3dfe03fd514095063ba113d91c8ba&amp;showType=960279468</v>
      </c>
      <c r="I17" s="3" t="s">
        <v>47</v>
      </c>
      <c r="J17" t="s">
        <v>16</v>
      </c>
    </row>
    <row r="18" ht="23" customHeight="1" spans="1:10">
      <c r="A18" s="2">
        <v>17</v>
      </c>
      <c r="B18" s="3" t="s">
        <v>17</v>
      </c>
      <c r="C18" s="2" t="s">
        <v>45</v>
      </c>
      <c r="D18" s="2" t="s">
        <v>40</v>
      </c>
      <c r="E18" s="2" t="s">
        <v>32</v>
      </c>
      <c r="F18" s="2" t="s">
        <v>13</v>
      </c>
      <c r="G18" s="2" t="s">
        <v>21</v>
      </c>
      <c r="H18" s="4" t="str">
        <f>HYPERLINK("https://www.yoojia.com/article/8816025247915474866.html","https://www.yoojia.com/article/8816025247915474866.html")</f>
        <v>https://www.yoojia.com/article/8816025247915474866.html</v>
      </c>
      <c r="I18" s="3" t="s">
        <v>22</v>
      </c>
      <c r="J18" t="s">
        <v>16</v>
      </c>
    </row>
    <row r="19" ht="23" customHeight="1" spans="1:10">
      <c r="A19" s="2">
        <v>18</v>
      </c>
      <c r="B19" s="3" t="s">
        <v>17</v>
      </c>
      <c r="C19" s="2" t="s">
        <v>45</v>
      </c>
      <c r="D19" s="2" t="s">
        <v>43</v>
      </c>
      <c r="E19" s="2" t="s">
        <v>25</v>
      </c>
      <c r="F19" s="2" t="s">
        <v>13</v>
      </c>
      <c r="G19" s="2" t="s">
        <v>21</v>
      </c>
      <c r="H19" s="4" t="str">
        <f>HYPERLINK("https://www.jfdaily.com/staticsg/res/html/web/newsDetail.html?id=1039373","https://www.jfdaily.com/staticsg/res/html/web/newsDetail.html?id=1039373")</f>
        <v>https://www.jfdaily.com/staticsg/res/html/web/newsDetail.html?id=1039373</v>
      </c>
      <c r="I19" s="3" t="s">
        <v>22</v>
      </c>
      <c r="J19" t="s">
        <v>16</v>
      </c>
    </row>
    <row r="20" ht="23" customHeight="1" spans="1:10">
      <c r="A20" s="2">
        <v>19</v>
      </c>
      <c r="B20" s="3" t="s">
        <v>17</v>
      </c>
      <c r="C20" s="2" t="s">
        <v>45</v>
      </c>
      <c r="D20" s="2" t="s">
        <v>41</v>
      </c>
      <c r="E20" s="2" t="s">
        <v>32</v>
      </c>
      <c r="F20" s="2" t="s">
        <v>13</v>
      </c>
      <c r="G20" s="2" t="s">
        <v>21</v>
      </c>
      <c r="H20" s="4" t="str">
        <f>HYPERLINK("https://mbd.baidu.com/newspage/data/landingshare?nid=news_8816025247915474866","https://mbd.baidu.com/newspage/data/landingshare?nid=news_8816025247915474866")</f>
        <v>https://mbd.baidu.com/newspage/data/landingshare?nid=news_8816025247915474866</v>
      </c>
      <c r="I20" s="3" t="s">
        <v>22</v>
      </c>
      <c r="J20" t="s">
        <v>16</v>
      </c>
    </row>
    <row r="21" ht="23" customHeight="1" spans="1:10">
      <c r="A21" s="2">
        <v>20</v>
      </c>
      <c r="B21" s="3" t="s">
        <v>17</v>
      </c>
      <c r="C21" s="2" t="s">
        <v>45</v>
      </c>
      <c r="D21" s="2" t="s">
        <v>46</v>
      </c>
      <c r="E21" s="2" t="s">
        <v>32</v>
      </c>
      <c r="F21" s="2" t="s">
        <v>37</v>
      </c>
      <c r="G21" s="2" t="s">
        <v>21</v>
      </c>
      <c r="H21" s="4" t="str">
        <f>HYPERLINK("https://3g.k.sohu.com/t/n960269117?serialId=1f821cca882ac0964b93dfa8cc7053d0&amp;showType=960269117","https://3g.k.sohu.com/t/n960269117?serialId=1f821cca882ac0964b93dfa8cc7053d0&amp;showType=960269117")</f>
        <v>https://3g.k.sohu.com/t/n960269117?serialId=1f821cca882ac0964b93dfa8cc7053d0&amp;showType=960269117</v>
      </c>
      <c r="I21" s="3" t="s">
        <v>48</v>
      </c>
      <c r="J21" t="s">
        <v>16</v>
      </c>
    </row>
    <row r="22" ht="23" customHeight="1" spans="1:10">
      <c r="A22" s="2">
        <v>21</v>
      </c>
      <c r="B22" s="3" t="s">
        <v>49</v>
      </c>
      <c r="C22" s="2" t="s">
        <v>50</v>
      </c>
      <c r="D22" s="2" t="s">
        <v>24</v>
      </c>
      <c r="E22" s="2" t="s">
        <v>24</v>
      </c>
      <c r="F22" s="2" t="s">
        <v>13</v>
      </c>
      <c r="G22" s="2" t="s">
        <v>26</v>
      </c>
      <c r="H22" s="4" t="str">
        <f>HYPERLINK("https://edu.online.sh.cn/education/gb/content/2025-12/19/content_10409176.htm","https://edu.online.sh.cn/education/gb/content/2025-12/19/content_10409176.htm")</f>
        <v>https://edu.online.sh.cn/education/gb/content/2025-12/19/content_10409176.htm</v>
      </c>
      <c r="I22" s="3" t="s">
        <v>51</v>
      </c>
      <c r="J22" t="s">
        <v>16</v>
      </c>
    </row>
    <row r="23" ht="23" customHeight="1" spans="1:10">
      <c r="A23" s="2">
        <v>22</v>
      </c>
      <c r="B23" s="3" t="s">
        <v>52</v>
      </c>
      <c r="C23" s="2" t="s">
        <v>53</v>
      </c>
      <c r="D23" s="2" t="s">
        <v>12</v>
      </c>
      <c r="E23" s="2" t="s">
        <v>54</v>
      </c>
      <c r="F23" s="2" t="s">
        <v>37</v>
      </c>
      <c r="G23" s="2" t="s">
        <v>14</v>
      </c>
      <c r="H23" s="4" t="str">
        <f>HYPERLINK("https://app.xinhuanet.com/news/article.html?articleId=333438c119d03dfb2266ea6a16cac1bc","https://app.xinhuanet.com/news/article.html?articleId=333438c119d03dfb2266ea6a16cac1bc")</f>
        <v>https://app.xinhuanet.com/news/article.html?articleId=333438c119d03dfb2266ea6a16cac1bc</v>
      </c>
      <c r="I23" s="3" t="s">
        <v>15</v>
      </c>
      <c r="J23" t="s">
        <v>16</v>
      </c>
    </row>
    <row r="24" ht="23" customHeight="1" spans="1:10">
      <c r="A24" s="2">
        <v>23</v>
      </c>
      <c r="B24" s="3" t="s">
        <v>55</v>
      </c>
      <c r="C24" s="2" t="s">
        <v>56</v>
      </c>
      <c r="D24" s="2" t="s">
        <v>46</v>
      </c>
      <c r="E24" s="2" t="s">
        <v>57</v>
      </c>
      <c r="F24" s="2" t="s">
        <v>37</v>
      </c>
      <c r="G24" s="2" t="s">
        <v>14</v>
      </c>
      <c r="H24" s="4" t="str">
        <f>HYPERLINK("https://3g.k.sohu.com/t/n959044483?serialId=e373971e31780a58792949554cc79b44&amp;showType=959044483","https://3g.k.sohu.com/t/n959044483?serialId=e373971e31780a58792949554cc79b44&amp;showType=959044483")</f>
        <v>https://3g.k.sohu.com/t/n959044483?serialId=e373971e31780a58792949554cc79b44&amp;showType=959044483</v>
      </c>
      <c r="I24" s="3" t="s">
        <v>58</v>
      </c>
      <c r="J24" t="s">
        <v>16</v>
      </c>
    </row>
    <row r="25" ht="23" customHeight="1" spans="1:10">
      <c r="A25" s="2">
        <v>24</v>
      </c>
      <c r="B25" s="3" t="s">
        <v>55</v>
      </c>
      <c r="C25" s="2" t="s">
        <v>56</v>
      </c>
      <c r="D25" s="2" t="s">
        <v>46</v>
      </c>
      <c r="E25" s="2" t="s">
        <v>57</v>
      </c>
      <c r="F25" s="2" t="s">
        <v>13</v>
      </c>
      <c r="G25" s="2" t="s">
        <v>14</v>
      </c>
      <c r="H25" s="4" t="str">
        <f>HYPERLINK("https://www.sohu.com/a/966679639_120756848","https://www.sohu.com/a/966679639_120756848")</f>
        <v>https://www.sohu.com/a/966679639_120756848</v>
      </c>
      <c r="I25" s="3" t="s">
        <v>59</v>
      </c>
      <c r="J25" t="s">
        <v>16</v>
      </c>
    </row>
    <row r="26" ht="23" customHeight="1" spans="1:10">
      <c r="A26" s="2">
        <v>25</v>
      </c>
      <c r="B26" s="3" t="s">
        <v>55</v>
      </c>
      <c r="C26" s="2" t="s">
        <v>60</v>
      </c>
      <c r="D26" s="2" t="s">
        <v>40</v>
      </c>
      <c r="E26" s="2" t="s">
        <v>57</v>
      </c>
      <c r="F26" s="2" t="s">
        <v>13</v>
      </c>
      <c r="G26" s="2" t="s">
        <v>14</v>
      </c>
      <c r="H26" s="4" t="str">
        <f>HYPERLINK("https://www.yoojia.com/article/9699013933686856678.html","https://www.yoojia.com/article/9699013933686856678.html")</f>
        <v>https://www.yoojia.com/article/9699013933686856678.html</v>
      </c>
      <c r="I26" s="3" t="s">
        <v>59</v>
      </c>
      <c r="J26" t="s">
        <v>16</v>
      </c>
    </row>
    <row r="27" ht="23" customHeight="1" spans="1:10">
      <c r="A27" s="2">
        <v>26</v>
      </c>
      <c r="B27" s="3" t="s">
        <v>55</v>
      </c>
      <c r="C27" s="2" t="s">
        <v>60</v>
      </c>
      <c r="D27" s="2" t="s">
        <v>41</v>
      </c>
      <c r="E27" s="2" t="s">
        <v>57</v>
      </c>
      <c r="F27" s="2" t="s">
        <v>13</v>
      </c>
      <c r="G27" s="2" t="s">
        <v>14</v>
      </c>
      <c r="H27" s="4" t="str">
        <f>HYPERLINK("https://mbd.baidu.com/newspage/data/landingshare?nid=news_9699013933686856678","https://mbd.baidu.com/newspage/data/landingshare?nid=news_9699013933686856678")</f>
        <v>https://mbd.baidu.com/newspage/data/landingshare?nid=news_9699013933686856678</v>
      </c>
      <c r="I27" s="3" t="s">
        <v>59</v>
      </c>
      <c r="J27" t="s">
        <v>16</v>
      </c>
    </row>
    <row r="28" ht="23" customHeight="1" spans="1:10">
      <c r="A28" s="2">
        <v>27</v>
      </c>
      <c r="B28" s="3" t="s">
        <v>61</v>
      </c>
      <c r="C28" s="2" t="s">
        <v>62</v>
      </c>
      <c r="D28" s="2" t="s">
        <v>63</v>
      </c>
      <c r="E28" s="2" t="s">
        <v>64</v>
      </c>
      <c r="F28" s="2" t="s">
        <v>13</v>
      </c>
      <c r="G28" s="2" t="s">
        <v>14</v>
      </c>
      <c r="H28" s="4" t="str">
        <f>HYPERLINK("https://caijing.chinadaily.com.cn/a/202512/18/WS69439878a310942cc499746f.html","https://caijing.chinadaily.com.cn/a/202512/18/WS69439878a310942cc499746f.html")</f>
        <v>https://caijing.chinadaily.com.cn/a/202512/18/WS69439878a310942cc499746f.html</v>
      </c>
      <c r="I28" s="3" t="s">
        <v>65</v>
      </c>
      <c r="J28" t="s">
        <v>16</v>
      </c>
    </row>
    <row r="29" ht="23" customHeight="1" spans="1:10">
      <c r="A29" s="2">
        <v>28</v>
      </c>
      <c r="B29" s="3" t="s">
        <v>66</v>
      </c>
      <c r="C29" s="2" t="s">
        <v>67</v>
      </c>
      <c r="D29" s="2" t="s">
        <v>68</v>
      </c>
      <c r="E29" s="2" t="s">
        <v>68</v>
      </c>
      <c r="F29" s="2" t="s">
        <v>13</v>
      </c>
      <c r="G29" s="2" t="s">
        <v>26</v>
      </c>
      <c r="H29" s="4" t="str">
        <f>HYPERLINK("https://hea.china.com/articles/20251217/202512171782960.html","https://hea.china.com/articles/20251217/202512171782960.html")</f>
        <v>https://hea.china.com/articles/20251217/202512171782960.html</v>
      </c>
      <c r="I29" s="3" t="s">
        <v>69</v>
      </c>
      <c r="J29" t="s">
        <v>16</v>
      </c>
    </row>
    <row r="30" ht="23" customHeight="1" spans="1:10">
      <c r="A30" s="2">
        <v>29</v>
      </c>
      <c r="B30" s="3" t="s">
        <v>66</v>
      </c>
      <c r="C30" s="2" t="s">
        <v>70</v>
      </c>
      <c r="D30" s="2" t="s">
        <v>71</v>
      </c>
      <c r="E30" s="2" t="s">
        <v>72</v>
      </c>
      <c r="F30" s="2" t="s">
        <v>13</v>
      </c>
      <c r="G30" s="2" t="s">
        <v>21</v>
      </c>
      <c r="H30" s="4" t="str">
        <f>HYPERLINK("http://qiye.eastday.com/n35/u1ai1410188.html","http://qiye.eastday.com/n35/u1ai1410188.html")</f>
        <v>http://qiye.eastday.com/n35/u1ai1410188.html</v>
      </c>
      <c r="I30" s="3" t="s">
        <v>69</v>
      </c>
      <c r="J30" t="s">
        <v>16</v>
      </c>
    </row>
    <row r="31" ht="23" customHeight="1" spans="1:10">
      <c r="A31" s="2">
        <v>30</v>
      </c>
      <c r="B31" s="3" t="s">
        <v>66</v>
      </c>
      <c r="C31" s="2" t="s">
        <v>73</v>
      </c>
      <c r="D31" s="2" t="s">
        <v>63</v>
      </c>
      <c r="E31" s="2" t="s">
        <v>74</v>
      </c>
      <c r="F31" s="2" t="s">
        <v>13</v>
      </c>
      <c r="G31" s="2" t="s">
        <v>14</v>
      </c>
      <c r="H31" s="4" t="str">
        <f>HYPERLINK("https://caijing.chinadaily.com.cn/a/202512/17/WS69427753a310942cc49972fe.html","https://caijing.chinadaily.com.cn/a/202512/17/WS69427753a310942cc49972fe.html")</f>
        <v>https://caijing.chinadaily.com.cn/a/202512/17/WS69427753a310942cc49972fe.html</v>
      </c>
      <c r="I31" s="3" t="s">
        <v>69</v>
      </c>
      <c r="J31" t="s">
        <v>16</v>
      </c>
    </row>
    <row r="32" ht="23" customHeight="1" spans="1:10">
      <c r="A32" s="2">
        <v>31</v>
      </c>
      <c r="B32" s="3" t="s">
        <v>49</v>
      </c>
      <c r="C32" s="2" t="s">
        <v>75</v>
      </c>
      <c r="D32" s="2" t="s">
        <v>19</v>
      </c>
      <c r="E32" s="2" t="s">
        <v>20</v>
      </c>
      <c r="F32" s="2" t="s">
        <v>13</v>
      </c>
      <c r="G32" s="2" t="s">
        <v>21</v>
      </c>
      <c r="H32" s="4" t="str">
        <f>HYPERLINK("https://c.m.163.com/news/a/KGVRL4B7055040N3.html","https://c.m.163.com/news/a/KGVRL4B7055040N3.html")</f>
        <v>https://c.m.163.com/news/a/KGVRL4B7055040N3.html</v>
      </c>
      <c r="I32" s="3" t="s">
        <v>76</v>
      </c>
      <c r="J32" t="s">
        <v>16</v>
      </c>
    </row>
    <row r="33" ht="23" customHeight="1" spans="1:10">
      <c r="A33" s="2">
        <v>32</v>
      </c>
      <c r="B33" s="3" t="s">
        <v>49</v>
      </c>
      <c r="C33" s="2" t="s">
        <v>77</v>
      </c>
      <c r="D33" s="2" t="s">
        <v>41</v>
      </c>
      <c r="E33" s="2" t="s">
        <v>20</v>
      </c>
      <c r="F33" s="2" t="s">
        <v>13</v>
      </c>
      <c r="G33" s="2" t="s">
        <v>21</v>
      </c>
      <c r="H33" s="4" t="str">
        <f>HYPERLINK("https://mbd.baidu.com/newspage/data/landingshare?nid=news_9951622856141712379","https://mbd.baidu.com/newspage/data/landingshare?nid=news_9951622856141712379")</f>
        <v>https://mbd.baidu.com/newspage/data/landingshare?nid=news_9951622856141712379</v>
      </c>
      <c r="I33" s="3" t="s">
        <v>78</v>
      </c>
      <c r="J33" t="s">
        <v>16</v>
      </c>
    </row>
    <row r="34" ht="23" customHeight="1" spans="1:10">
      <c r="A34" s="2">
        <v>33</v>
      </c>
      <c r="B34" s="3" t="s">
        <v>49</v>
      </c>
      <c r="C34" s="2" t="s">
        <v>77</v>
      </c>
      <c r="D34" s="2" t="s">
        <v>40</v>
      </c>
      <c r="E34" s="2" t="s">
        <v>20</v>
      </c>
      <c r="F34" s="2" t="s">
        <v>13</v>
      </c>
      <c r="G34" s="2" t="s">
        <v>21</v>
      </c>
      <c r="H34" s="4" t="str">
        <f>HYPERLINK("https://www.yoojia.com/article/9951622856141712379.html","https://www.yoojia.com/article/9951622856141712379.html")</f>
        <v>https://www.yoojia.com/article/9951622856141712379.html</v>
      </c>
      <c r="I34" s="3" t="s">
        <v>78</v>
      </c>
      <c r="J34" t="s">
        <v>16</v>
      </c>
    </row>
    <row r="35" ht="23" customHeight="1" spans="1:10">
      <c r="A35" s="2">
        <v>34</v>
      </c>
      <c r="B35" s="3" t="s">
        <v>79</v>
      </c>
      <c r="C35" s="2" t="s">
        <v>80</v>
      </c>
      <c r="D35" s="2" t="s">
        <v>81</v>
      </c>
      <c r="E35" s="2" t="s">
        <v>82</v>
      </c>
      <c r="F35" s="2" t="s">
        <v>13</v>
      </c>
      <c r="G35" s="2" t="s">
        <v>83</v>
      </c>
      <c r="H35" s="4" t="str">
        <f>HYPERLINK("https://m.thepaper.cn/newsDetail_forward_32191785","https://m.thepaper.cn/newsDetail_forward_32191785")</f>
        <v>https://m.thepaper.cn/newsDetail_forward_32191785</v>
      </c>
      <c r="I35" s="3" t="s">
        <v>84</v>
      </c>
      <c r="J35" t="s">
        <v>16</v>
      </c>
    </row>
    <row r="36" ht="23" customHeight="1" spans="1:10">
      <c r="A36" s="2">
        <v>35</v>
      </c>
      <c r="B36" s="3" t="s">
        <v>85</v>
      </c>
      <c r="C36" s="2" t="s">
        <v>86</v>
      </c>
      <c r="D36" s="2" t="s">
        <v>11</v>
      </c>
      <c r="E36" s="2" t="s">
        <v>87</v>
      </c>
      <c r="F36" s="2" t="s">
        <v>13</v>
      </c>
      <c r="G36" s="2" t="s">
        <v>26</v>
      </c>
      <c r="H36" s="4" t="str">
        <f>HYPERLINK("https://www.toutiao.com/article/7584366619825144363/","https://www.toutiao.com/article/7584366619825144363/")</f>
        <v>https://www.toutiao.com/article/7584366619825144363/</v>
      </c>
      <c r="I36" s="3" t="s">
        <v>88</v>
      </c>
      <c r="J36" t="s">
        <v>16</v>
      </c>
    </row>
    <row r="37" ht="23" customHeight="1" spans="1:10">
      <c r="A37" s="2">
        <v>36</v>
      </c>
      <c r="B37" s="3" t="s">
        <v>89</v>
      </c>
      <c r="C37" s="2" t="s">
        <v>90</v>
      </c>
      <c r="D37" s="2" t="s">
        <v>91</v>
      </c>
      <c r="E37" s="2" t="s">
        <v>92</v>
      </c>
      <c r="F37" s="2" t="s">
        <v>91</v>
      </c>
      <c r="G37" s="2" t="s">
        <v>26</v>
      </c>
      <c r="H37" s="4" t="str">
        <f>HYPERLINK("http://mp.weixin.qq.com/s?__biz=MjM5NzAwMDg3Ng==&amp;mid=2650907940&amp;idx=3&amp;sn=425595fb6d8d06300602ad4ab540e833","http://mp.weixin.qq.com/s?__biz=MjM5NzAwMDg3Ng==&amp;mid=2650907940&amp;idx=3&amp;sn=425595fb6d8d06300602ad4ab540e833")</f>
        <v>http://mp.weixin.qq.com/s?__biz=MjM5NzAwMDg3Ng==&amp;mid=2650907940&amp;idx=3&amp;sn=425595fb6d8d06300602ad4ab540e833</v>
      </c>
      <c r="I37" s="3" t="s">
        <v>93</v>
      </c>
      <c r="J37" t="s">
        <v>16</v>
      </c>
    </row>
    <row r="38" ht="23" customHeight="1" spans="1:10">
      <c r="A38" s="2">
        <v>37</v>
      </c>
      <c r="B38" s="3" t="s">
        <v>85</v>
      </c>
      <c r="C38" s="2" t="s">
        <v>94</v>
      </c>
      <c r="D38" s="2" t="s">
        <v>95</v>
      </c>
      <c r="E38" s="2" t="s">
        <v>95</v>
      </c>
      <c r="F38" s="2" t="s">
        <v>13</v>
      </c>
      <c r="G38" s="2" t="s">
        <v>14</v>
      </c>
      <c r="H38" s="4" t="str">
        <f>HYPERLINK("http://sh.people.com.cn/n2/2025/1216/c134768-41444271.html","http://sh.people.com.cn/n2/2025/1216/c134768-41444271.html")</f>
        <v>http://sh.people.com.cn/n2/2025/1216/c134768-41444271.html</v>
      </c>
      <c r="I38" s="3" t="s">
        <v>88</v>
      </c>
      <c r="J38" t="s">
        <v>16</v>
      </c>
    </row>
    <row r="39" ht="23" customHeight="1" spans="1:10">
      <c r="A39" s="2">
        <v>38</v>
      </c>
      <c r="B39" s="3" t="s">
        <v>85</v>
      </c>
      <c r="C39" s="2" t="s">
        <v>94</v>
      </c>
      <c r="D39" s="2" t="s">
        <v>95</v>
      </c>
      <c r="E39" s="2" t="s">
        <v>95</v>
      </c>
      <c r="F39" s="2" t="s">
        <v>13</v>
      </c>
      <c r="G39" s="2" t="s">
        <v>14</v>
      </c>
      <c r="H39" s="4" t="str">
        <f>HYPERLINK("http://sh.people.com.cn/BIG5/n2/2025/1216/c134768-41444271.html","http://sh.people.com.cn/BIG5/n2/2025/1216/c134768-41444271.html")</f>
        <v>http://sh.people.com.cn/BIG5/n2/2025/1216/c134768-41444271.html</v>
      </c>
      <c r="I39" s="3" t="s">
        <v>88</v>
      </c>
      <c r="J39" t="s">
        <v>16</v>
      </c>
    </row>
    <row r="40" ht="23" customHeight="1" spans="1:10">
      <c r="A40" s="2">
        <v>39</v>
      </c>
      <c r="B40" s="3" t="s">
        <v>96</v>
      </c>
      <c r="C40" s="2" t="s">
        <v>97</v>
      </c>
      <c r="D40" s="2" t="s">
        <v>34</v>
      </c>
      <c r="E40" s="2" t="s">
        <v>98</v>
      </c>
      <c r="F40" s="2" t="s">
        <v>13</v>
      </c>
      <c r="G40" s="2" t="s">
        <v>14</v>
      </c>
      <c r="H40" s="4" t="str">
        <f>HYPERLINK("https://kandianshare.html5.qq.com/v2/news/8740686525987891522","https://kandianshare.html5.qq.com/v2/news/8740686525987891522")</f>
        <v>https://kandianshare.html5.qq.com/v2/news/8740686525987891522</v>
      </c>
      <c r="I40" s="3" t="s">
        <v>99</v>
      </c>
      <c r="J40" t="s">
        <v>16</v>
      </c>
    </row>
    <row r="41" ht="23" customHeight="1" spans="1:10">
      <c r="A41" s="2">
        <v>40</v>
      </c>
      <c r="B41" s="3" t="s">
        <v>96</v>
      </c>
      <c r="C41" s="2" t="s">
        <v>97</v>
      </c>
      <c r="D41" s="2" t="s">
        <v>35</v>
      </c>
      <c r="E41" s="2" t="s">
        <v>98</v>
      </c>
      <c r="F41" s="2" t="s">
        <v>13</v>
      </c>
      <c r="G41" s="2" t="s">
        <v>14</v>
      </c>
      <c r="H41" s="4" t="str">
        <f>HYPERLINK("https://new.qq.com/rain/a/20251216A01T5900","https://new.qq.com/rain/a/20251216A01T5900")</f>
        <v>https://new.qq.com/rain/a/20251216A01T5900</v>
      </c>
      <c r="I41" s="3" t="s">
        <v>99</v>
      </c>
      <c r="J41" t="s">
        <v>16</v>
      </c>
    </row>
    <row r="42" ht="23" customHeight="1" spans="1:10">
      <c r="A42" s="2">
        <v>41</v>
      </c>
      <c r="B42" s="3" t="s">
        <v>96</v>
      </c>
      <c r="C42" s="2" t="s">
        <v>100</v>
      </c>
      <c r="D42" s="2" t="s">
        <v>46</v>
      </c>
      <c r="E42" s="2" t="s">
        <v>98</v>
      </c>
      <c r="F42" s="2" t="s">
        <v>37</v>
      </c>
      <c r="G42" s="2" t="s">
        <v>14</v>
      </c>
      <c r="H42" s="4" t="str">
        <f>HYPERLINK("https://3g.k.sohu.com/t/n958097649?serialId=e89d541b27aac2cf70fee49818a6d39d&amp;showType=958097649","https://3g.k.sohu.com/t/n958097649?serialId=e89d541b27aac2cf70fee49818a6d39d&amp;showType=958097649")</f>
        <v>https://3g.k.sohu.com/t/n958097649?serialId=e89d541b27aac2cf70fee49818a6d39d&amp;showType=958097649</v>
      </c>
      <c r="I42" s="3" t="s">
        <v>101</v>
      </c>
      <c r="J42" t="s">
        <v>16</v>
      </c>
    </row>
    <row r="43" ht="23" customHeight="1" spans="1:10">
      <c r="A43" s="2">
        <v>42</v>
      </c>
      <c r="B43" s="3" t="s">
        <v>96</v>
      </c>
      <c r="C43" s="2" t="s">
        <v>100</v>
      </c>
      <c r="D43" s="2" t="s">
        <v>46</v>
      </c>
      <c r="E43" s="2" t="s">
        <v>98</v>
      </c>
      <c r="F43" s="2" t="s">
        <v>13</v>
      </c>
      <c r="G43" s="2" t="s">
        <v>14</v>
      </c>
      <c r="H43" s="4" t="str">
        <f>HYPERLINK("https://www.sohu.com/a/965594781_362042","https://www.sohu.com/a/965594781_362042")</f>
        <v>https://www.sohu.com/a/965594781_362042</v>
      </c>
      <c r="I43" s="3" t="s">
        <v>99</v>
      </c>
      <c r="J43" t="s">
        <v>16</v>
      </c>
    </row>
    <row r="44" ht="23" customHeight="1" spans="1:10">
      <c r="A44" s="2">
        <v>43</v>
      </c>
      <c r="B44" s="3" t="s">
        <v>102</v>
      </c>
      <c r="C44" s="2" t="s">
        <v>103</v>
      </c>
      <c r="D44" s="2" t="s">
        <v>11</v>
      </c>
      <c r="E44" s="2" t="s">
        <v>104</v>
      </c>
      <c r="F44" s="2" t="s">
        <v>13</v>
      </c>
      <c r="G44" s="2" t="s">
        <v>26</v>
      </c>
      <c r="H44" s="4" t="str">
        <f>HYPERLINK("https://www.toutiao.com/article/7583516933203608105/","https://www.toutiao.com/article/7583516933203608105/")</f>
        <v>https://www.toutiao.com/article/7583516933203608105/</v>
      </c>
      <c r="I44" s="3" t="s">
        <v>105</v>
      </c>
      <c r="J44" t="s">
        <v>16</v>
      </c>
    </row>
    <row r="45" ht="23" customHeight="1" spans="1:10">
      <c r="A45" s="2">
        <v>44</v>
      </c>
      <c r="B45" s="3" t="s">
        <v>102</v>
      </c>
      <c r="C45" s="2" t="s">
        <v>106</v>
      </c>
      <c r="D45" s="2" t="s">
        <v>107</v>
      </c>
      <c r="E45" s="2" t="s">
        <v>108</v>
      </c>
      <c r="F45" s="2" t="s">
        <v>13</v>
      </c>
      <c r="G45" s="2" t="s">
        <v>14</v>
      </c>
      <c r="H45" s="4" t="str">
        <f>HYPERLINK("https://k.sina.cn/article_7517400647_1c0126e4705907vglg.html","https://k.sina.cn/article_7517400647_1c0126e4705907vglg.html")</f>
        <v>https://k.sina.cn/article_7517400647_1c0126e4705907vglg.html</v>
      </c>
      <c r="I45" s="3" t="s">
        <v>109</v>
      </c>
      <c r="J45" t="s">
        <v>16</v>
      </c>
    </row>
    <row r="46" ht="23" customHeight="1" spans="1:10">
      <c r="A46" s="2">
        <v>45</v>
      </c>
      <c r="B46" s="3" t="s">
        <v>110</v>
      </c>
      <c r="C46" s="2" t="s">
        <v>111</v>
      </c>
      <c r="D46" s="2" t="s">
        <v>19</v>
      </c>
      <c r="E46" s="2" t="s">
        <v>20</v>
      </c>
      <c r="F46" s="2" t="s">
        <v>13</v>
      </c>
      <c r="G46" s="2" t="s">
        <v>21</v>
      </c>
      <c r="H46" s="4" t="str">
        <f>HYPERLINK("https://c.m.163.com/news/a/KGLE228R055040N3.html","https://c.m.163.com/news/a/KGLE228R055040N3.html")</f>
        <v>https://c.m.163.com/news/a/KGLE228R055040N3.html</v>
      </c>
      <c r="I46" s="3" t="s">
        <v>112</v>
      </c>
      <c r="J46" t="s">
        <v>16</v>
      </c>
    </row>
    <row r="47" ht="23" customHeight="1" spans="1:10">
      <c r="A47" s="2">
        <v>46</v>
      </c>
      <c r="B47" s="3" t="s">
        <v>110</v>
      </c>
      <c r="C47" s="2" t="s">
        <v>113</v>
      </c>
      <c r="D47" s="2" t="s">
        <v>11</v>
      </c>
      <c r="E47" s="2" t="s">
        <v>32</v>
      </c>
      <c r="F47" s="2" t="s">
        <v>13</v>
      </c>
      <c r="G47" s="2" t="s">
        <v>21</v>
      </c>
      <c r="H47" s="4" t="str">
        <f>HYPERLINK("https://www.toutiao.com/article/7583168379126366726/","https://www.toutiao.com/article/7583168379126366726/")</f>
        <v>https://www.toutiao.com/article/7583168379126366726/</v>
      </c>
      <c r="I47" s="3" t="s">
        <v>112</v>
      </c>
      <c r="J47" t="s">
        <v>16</v>
      </c>
    </row>
    <row r="48" ht="23" customHeight="1" spans="1:10">
      <c r="A48" s="2">
        <v>47</v>
      </c>
      <c r="B48" s="3" t="s">
        <v>110</v>
      </c>
      <c r="C48" s="2" t="s">
        <v>114</v>
      </c>
      <c r="D48" s="2" t="s">
        <v>19</v>
      </c>
      <c r="E48" s="2" t="s">
        <v>115</v>
      </c>
      <c r="F48" s="2" t="s">
        <v>13</v>
      </c>
      <c r="G48" s="2" t="s">
        <v>26</v>
      </c>
      <c r="H48" s="4" t="str">
        <f>HYPERLINK("https://c.m.163.com/news/a/KGLDTHRA05568W0A.html","https://c.m.163.com/news/a/KGLDTHRA05568W0A.html")</f>
        <v>https://c.m.163.com/news/a/KGLDTHRA05568W0A.html</v>
      </c>
      <c r="I48" s="3" t="s">
        <v>112</v>
      </c>
      <c r="J48" t="s">
        <v>16</v>
      </c>
    </row>
    <row r="49" ht="23" customHeight="1" spans="1:10">
      <c r="A49" s="2">
        <v>48</v>
      </c>
      <c r="B49" s="3" t="s">
        <v>110</v>
      </c>
      <c r="C49" s="2" t="s">
        <v>116</v>
      </c>
      <c r="D49" s="2" t="s">
        <v>11</v>
      </c>
      <c r="E49" s="2" t="s">
        <v>20</v>
      </c>
      <c r="F49" s="2" t="s">
        <v>13</v>
      </c>
      <c r="G49" s="2" t="s">
        <v>21</v>
      </c>
      <c r="H49" s="4" t="str">
        <f>HYPERLINK("https://www.toutiao.com/article/7583167383033741858/","https://www.toutiao.com/article/7583167383033741858/")</f>
        <v>https://www.toutiao.com/article/7583167383033741858/</v>
      </c>
      <c r="I49" s="3" t="s">
        <v>112</v>
      </c>
      <c r="J49" t="s">
        <v>16</v>
      </c>
    </row>
    <row r="50" ht="23" customHeight="1" spans="1:10">
      <c r="A50" s="2">
        <v>49</v>
      </c>
      <c r="B50" s="3" t="s">
        <v>110</v>
      </c>
      <c r="C50" s="2" t="s">
        <v>116</v>
      </c>
      <c r="D50" s="2" t="s">
        <v>29</v>
      </c>
      <c r="E50" s="2" t="s">
        <v>30</v>
      </c>
      <c r="F50" s="2" t="s">
        <v>13</v>
      </c>
      <c r="G50" s="2" t="s">
        <v>26</v>
      </c>
      <c r="H50" s="4" t="str">
        <f>HYPERLINK("https://finance.sina.cn/2025-12-13/detail-inharkhp4839926.d.html","https://finance.sina.cn/2025-12-13/detail-inharkhp4839926.d.html")</f>
        <v>https://finance.sina.cn/2025-12-13/detail-inharkhp4839926.d.html</v>
      </c>
      <c r="I50" s="3" t="s">
        <v>112</v>
      </c>
      <c r="J50" t="s">
        <v>16</v>
      </c>
    </row>
    <row r="51" ht="23" customHeight="1" spans="1:10">
      <c r="A51" s="2">
        <v>50</v>
      </c>
      <c r="B51" s="3" t="s">
        <v>110</v>
      </c>
      <c r="C51" s="2" t="s">
        <v>117</v>
      </c>
      <c r="D51" s="2" t="s">
        <v>20</v>
      </c>
      <c r="E51" s="2" t="s">
        <v>118</v>
      </c>
      <c r="F51" s="2" t="s">
        <v>37</v>
      </c>
      <c r="G51" s="2" t="s">
        <v>21</v>
      </c>
      <c r="H51" s="4" t="str">
        <f>HYPERLINK("https://www.shobserver.com/staticsg/res/html/web/newsDetail.html?id=1034864","https://www.shobserver.com/staticsg/res/html/web/newsDetail.html?id=1034864")</f>
        <v>https://www.shobserver.com/staticsg/res/html/web/newsDetail.html?id=1034864</v>
      </c>
      <c r="I51" s="3" t="s">
        <v>112</v>
      </c>
      <c r="J51" t="s">
        <v>16</v>
      </c>
    </row>
    <row r="52" ht="23" customHeight="1" spans="1:10">
      <c r="A52" s="2">
        <v>51</v>
      </c>
      <c r="B52" s="3" t="s">
        <v>110</v>
      </c>
      <c r="C52" s="2" t="s">
        <v>119</v>
      </c>
      <c r="D52" s="2" t="s">
        <v>34</v>
      </c>
      <c r="E52" s="2" t="s">
        <v>32</v>
      </c>
      <c r="F52" s="2" t="s">
        <v>13</v>
      </c>
      <c r="G52" s="2" t="s">
        <v>21</v>
      </c>
      <c r="H52" s="4" t="str">
        <f>HYPERLINK("https://kandianshare.html5.qq.com/v2/news/6786123757446441282","https://kandianshare.html5.qq.com/v2/news/6786123757446441282")</f>
        <v>https://kandianshare.html5.qq.com/v2/news/6786123757446441282</v>
      </c>
      <c r="I52" s="3" t="s">
        <v>112</v>
      </c>
      <c r="J52" t="s">
        <v>16</v>
      </c>
    </row>
    <row r="53" ht="23" customHeight="1" spans="1:10">
      <c r="A53" s="2">
        <v>52</v>
      </c>
      <c r="B53" s="3" t="s">
        <v>110</v>
      </c>
      <c r="C53" s="2" t="s">
        <v>119</v>
      </c>
      <c r="D53" s="2" t="s">
        <v>35</v>
      </c>
      <c r="E53" s="2" t="s">
        <v>32</v>
      </c>
      <c r="F53" s="2" t="s">
        <v>13</v>
      </c>
      <c r="G53" s="2" t="s">
        <v>21</v>
      </c>
      <c r="H53" s="4" t="str">
        <f>HYPERLINK("https://new.qq.com/rain/a/20251213A0318Y00","https://new.qq.com/rain/a/20251213A0318Y00")</f>
        <v>https://new.qq.com/rain/a/20251213A0318Y00</v>
      </c>
      <c r="I53" s="3" t="s">
        <v>112</v>
      </c>
      <c r="J53" t="s">
        <v>16</v>
      </c>
    </row>
    <row r="54" ht="23" customHeight="1" spans="1:10">
      <c r="A54" s="2">
        <v>53</v>
      </c>
      <c r="B54" s="3" t="s">
        <v>110</v>
      </c>
      <c r="C54" s="2" t="s">
        <v>120</v>
      </c>
      <c r="D54" s="2" t="s">
        <v>34</v>
      </c>
      <c r="E54" s="2" t="s">
        <v>20</v>
      </c>
      <c r="F54" s="2" t="s">
        <v>13</v>
      </c>
      <c r="G54" s="2" t="s">
        <v>21</v>
      </c>
      <c r="H54" s="4" t="str">
        <f>HYPERLINK("https://kandianshare.html5.qq.com/v2/news/1606984185555523906","https://kandianshare.html5.qq.com/v2/news/1606984185555523906")</f>
        <v>https://kandianshare.html5.qq.com/v2/news/1606984185555523906</v>
      </c>
      <c r="I54" s="3" t="s">
        <v>112</v>
      </c>
      <c r="J54" t="s">
        <v>16</v>
      </c>
    </row>
    <row r="55" ht="23" customHeight="1" spans="1:10">
      <c r="A55" s="2">
        <v>54</v>
      </c>
      <c r="B55" s="3" t="s">
        <v>110</v>
      </c>
      <c r="C55" s="2" t="s">
        <v>120</v>
      </c>
      <c r="D55" s="2" t="s">
        <v>35</v>
      </c>
      <c r="E55" s="2" t="s">
        <v>20</v>
      </c>
      <c r="F55" s="2" t="s">
        <v>13</v>
      </c>
      <c r="G55" s="2" t="s">
        <v>21</v>
      </c>
      <c r="H55" s="4" t="str">
        <f>HYPERLINK("https://new.qq.com/rain/a/20251213A02ZZV00","https://new.qq.com/rain/a/20251213A02ZZV00")</f>
        <v>https://new.qq.com/rain/a/20251213A02ZZV00</v>
      </c>
      <c r="I55" s="3" t="s">
        <v>112</v>
      </c>
      <c r="J55" t="s">
        <v>16</v>
      </c>
    </row>
    <row r="56" ht="23" customHeight="1" spans="1:10">
      <c r="A56" s="2">
        <v>55</v>
      </c>
      <c r="B56" s="3" t="s">
        <v>110</v>
      </c>
      <c r="C56" s="2" t="s">
        <v>121</v>
      </c>
      <c r="D56" s="2" t="s">
        <v>43</v>
      </c>
      <c r="E56" s="2" t="s">
        <v>118</v>
      </c>
      <c r="F56" s="2" t="s">
        <v>13</v>
      </c>
      <c r="G56" s="2" t="s">
        <v>21</v>
      </c>
      <c r="H56" s="4" t="str">
        <f>HYPERLINK("https://www.jfdaily.com.cn/staticsg/res/html/web/newsDetail.html?id=1034864","https://www.jfdaily.com.cn/staticsg/res/html/web/newsDetail.html?id=1034864")</f>
        <v>https://www.jfdaily.com.cn/staticsg/res/html/web/newsDetail.html?id=1034864</v>
      </c>
      <c r="I56" s="3" t="s">
        <v>112</v>
      </c>
      <c r="J56" t="s">
        <v>16</v>
      </c>
    </row>
    <row r="57" ht="23" customHeight="1" spans="1:10">
      <c r="A57" s="2">
        <v>56</v>
      </c>
      <c r="B57" s="3" t="s">
        <v>110</v>
      </c>
      <c r="C57" s="2" t="s">
        <v>122</v>
      </c>
      <c r="D57" s="2" t="s">
        <v>43</v>
      </c>
      <c r="E57" s="2" t="s">
        <v>118</v>
      </c>
      <c r="F57" s="2" t="s">
        <v>13</v>
      </c>
      <c r="G57" s="2" t="s">
        <v>21</v>
      </c>
      <c r="H57" s="4" t="str">
        <f>HYPERLINK("https://www.jfdaily.com/staticsg/res/html/web/newsDetail.html?id=1034864","https://www.jfdaily.com/staticsg/res/html/web/newsDetail.html?id=1034864")</f>
        <v>https://www.jfdaily.com/staticsg/res/html/web/newsDetail.html?id=1034864</v>
      </c>
      <c r="I57" s="3" t="s">
        <v>112</v>
      </c>
      <c r="J57" t="s">
        <v>16</v>
      </c>
    </row>
    <row r="58" ht="23" customHeight="1" spans="1:10">
      <c r="A58" s="2">
        <v>57</v>
      </c>
      <c r="B58" s="3" t="s">
        <v>110</v>
      </c>
      <c r="C58" s="2" t="s">
        <v>122</v>
      </c>
      <c r="D58" s="2" t="s">
        <v>40</v>
      </c>
      <c r="E58" s="2" t="s">
        <v>32</v>
      </c>
      <c r="F58" s="2" t="s">
        <v>13</v>
      </c>
      <c r="G58" s="2" t="s">
        <v>21</v>
      </c>
      <c r="H58" s="4" t="str">
        <f>HYPERLINK("https://www.yoojia.com/article/9679256736118096460.html","https://www.yoojia.com/article/9679256736118096460.html")</f>
        <v>https://www.yoojia.com/article/9679256736118096460.html</v>
      </c>
      <c r="I58" s="3" t="s">
        <v>112</v>
      </c>
      <c r="J58" t="s">
        <v>16</v>
      </c>
    </row>
    <row r="59" ht="23" customHeight="1" spans="1:10">
      <c r="A59" s="2">
        <v>58</v>
      </c>
      <c r="B59" s="3" t="s">
        <v>110</v>
      </c>
      <c r="C59" s="2" t="s">
        <v>122</v>
      </c>
      <c r="D59" s="2" t="s">
        <v>46</v>
      </c>
      <c r="E59" s="2" t="s">
        <v>32</v>
      </c>
      <c r="F59" s="2" t="s">
        <v>37</v>
      </c>
      <c r="G59" s="2" t="s">
        <v>21</v>
      </c>
      <c r="H59" s="4" t="str">
        <f>HYPERLINK("https://3g.k.sohu.com/t/n957433943?serialId=7a54530f03dc409225a645d13390e3ce&amp;showType=957433943","https://3g.k.sohu.com/t/n957433943?serialId=7a54530f03dc409225a645d13390e3ce&amp;showType=957433943")</f>
        <v>https://3g.k.sohu.com/t/n957433943?serialId=7a54530f03dc409225a645d13390e3ce&amp;showType=957433943</v>
      </c>
      <c r="I59" s="3" t="s">
        <v>112</v>
      </c>
      <c r="J59" t="s">
        <v>16</v>
      </c>
    </row>
    <row r="60" ht="23" customHeight="1" spans="1:10">
      <c r="A60" s="2">
        <v>59</v>
      </c>
      <c r="B60" s="3" t="s">
        <v>110</v>
      </c>
      <c r="C60" s="2" t="s">
        <v>122</v>
      </c>
      <c r="D60" s="2" t="s">
        <v>40</v>
      </c>
      <c r="E60" s="2" t="s">
        <v>20</v>
      </c>
      <c r="F60" s="2" t="s">
        <v>13</v>
      </c>
      <c r="G60" s="2" t="s">
        <v>21</v>
      </c>
      <c r="H60" s="4" t="str">
        <f>HYPERLINK("https://www.yoojia.com/article/10271161533906283492.html","https://www.yoojia.com/article/10271161533906283492.html")</f>
        <v>https://www.yoojia.com/article/10271161533906283492.html</v>
      </c>
      <c r="I60" s="3" t="s">
        <v>112</v>
      </c>
      <c r="J60" t="s">
        <v>16</v>
      </c>
    </row>
    <row r="61" ht="23" customHeight="1" spans="1:10">
      <c r="A61" s="2">
        <v>60</v>
      </c>
      <c r="B61" s="3" t="s">
        <v>110</v>
      </c>
      <c r="C61" s="2" t="s">
        <v>122</v>
      </c>
      <c r="D61" s="2" t="s">
        <v>41</v>
      </c>
      <c r="E61" s="2" t="s">
        <v>32</v>
      </c>
      <c r="F61" s="2" t="s">
        <v>13</v>
      </c>
      <c r="G61" s="2" t="s">
        <v>21</v>
      </c>
      <c r="H61" s="4" t="str">
        <f>HYPERLINK("https://mbd.baidu.com/newspage/data/landingshare?nid=news_9679256736118096460","https://mbd.baidu.com/newspage/data/landingshare?nid=news_9679256736118096460")</f>
        <v>https://mbd.baidu.com/newspage/data/landingshare?nid=news_9679256736118096460</v>
      </c>
      <c r="I61" s="3" t="s">
        <v>112</v>
      </c>
      <c r="J61" t="s">
        <v>16</v>
      </c>
    </row>
    <row r="62" ht="23" customHeight="1" spans="1:10">
      <c r="A62" s="2">
        <v>61</v>
      </c>
      <c r="B62" s="3" t="s">
        <v>110</v>
      </c>
      <c r="C62" s="2" t="s">
        <v>122</v>
      </c>
      <c r="D62" s="2" t="s">
        <v>46</v>
      </c>
      <c r="E62" s="2" t="s">
        <v>32</v>
      </c>
      <c r="F62" s="2" t="s">
        <v>37</v>
      </c>
      <c r="G62" s="2" t="s">
        <v>21</v>
      </c>
      <c r="H62" s="4" t="str">
        <f>HYPERLINK("https://3g.k.sohu.com/t/n957434672?serialId=65b0bffa42d1a0d5f2a6a2090444e11a&amp;showType=957434672","https://3g.k.sohu.com/t/n957434672?serialId=65b0bffa42d1a0d5f2a6a2090444e11a&amp;showType=957434672")</f>
        <v>https://3g.k.sohu.com/t/n957434672?serialId=65b0bffa42d1a0d5f2a6a2090444e11a&amp;showType=957434672</v>
      </c>
      <c r="I62" s="3" t="s">
        <v>123</v>
      </c>
      <c r="J62" t="s">
        <v>16</v>
      </c>
    </row>
    <row r="63" ht="23" customHeight="1" spans="1:10">
      <c r="A63" s="2">
        <v>62</v>
      </c>
      <c r="B63" s="3" t="s">
        <v>110</v>
      </c>
      <c r="C63" s="2" t="s">
        <v>122</v>
      </c>
      <c r="D63" s="2" t="s">
        <v>41</v>
      </c>
      <c r="E63" s="2" t="s">
        <v>20</v>
      </c>
      <c r="F63" s="2" t="s">
        <v>13</v>
      </c>
      <c r="G63" s="2" t="s">
        <v>21</v>
      </c>
      <c r="H63" s="4" t="str">
        <f>HYPERLINK("https://mbd.baidu.com/newspage/data/landingshare?nid=news_10271161533906283492","https://mbd.baidu.com/newspage/data/landingshare?nid=news_10271161533906283492")</f>
        <v>https://mbd.baidu.com/newspage/data/landingshare?nid=news_10271161533906283492</v>
      </c>
      <c r="I63" s="3" t="s">
        <v>112</v>
      </c>
      <c r="J63" t="s">
        <v>16</v>
      </c>
    </row>
    <row r="64" ht="23" customHeight="1" spans="1:10">
      <c r="A64" s="2">
        <v>63</v>
      </c>
      <c r="B64" s="3" t="s">
        <v>110</v>
      </c>
      <c r="C64" s="2" t="s">
        <v>122</v>
      </c>
      <c r="D64" s="2" t="s">
        <v>46</v>
      </c>
      <c r="E64" s="2" t="s">
        <v>32</v>
      </c>
      <c r="F64" s="2" t="s">
        <v>13</v>
      </c>
      <c r="G64" s="2" t="s">
        <v>21</v>
      </c>
      <c r="H64" s="4" t="str">
        <f>HYPERLINK("https://www.sohu.com/a/964720721_121286085","https://www.sohu.com/a/964720721_121286085")</f>
        <v>https://www.sohu.com/a/964720721_121286085</v>
      </c>
      <c r="I64" s="3" t="s">
        <v>112</v>
      </c>
      <c r="J64" t="s">
        <v>16</v>
      </c>
    </row>
    <row r="65" ht="23" customHeight="1" spans="1:10">
      <c r="A65" s="2">
        <v>64</v>
      </c>
      <c r="B65" s="3" t="s">
        <v>124</v>
      </c>
      <c r="C65" s="2" t="s">
        <v>125</v>
      </c>
      <c r="D65" s="2" t="s">
        <v>40</v>
      </c>
      <c r="E65" s="2" t="s">
        <v>126</v>
      </c>
      <c r="F65" s="2" t="s">
        <v>13</v>
      </c>
      <c r="G65" s="2" t="s">
        <v>21</v>
      </c>
      <c r="H65" s="4" t="str">
        <f>HYPERLINK("https://www.yoojia.com/article/8918101863016329611.html","https://www.yoojia.com/article/8918101863016329611.html")</f>
        <v>https://www.yoojia.com/article/8918101863016329611.html</v>
      </c>
      <c r="I65" s="3" t="s">
        <v>127</v>
      </c>
      <c r="J65" t="s">
        <v>16</v>
      </c>
    </row>
    <row r="66" ht="23" customHeight="1" spans="1:10">
      <c r="A66" s="2">
        <v>65</v>
      </c>
      <c r="B66" s="3" t="s">
        <v>124</v>
      </c>
      <c r="C66" s="2" t="s">
        <v>125</v>
      </c>
      <c r="D66" s="2" t="s">
        <v>41</v>
      </c>
      <c r="E66" s="2" t="s">
        <v>126</v>
      </c>
      <c r="F66" s="2" t="s">
        <v>13</v>
      </c>
      <c r="G66" s="2" t="s">
        <v>21</v>
      </c>
      <c r="H66" s="4" t="str">
        <f>HYPERLINK("https://mbd.baidu.com/newspage/data/landingshare?nid=news_8918101863016329611","https://mbd.baidu.com/newspage/data/landingshare?nid=news_8918101863016329611")</f>
        <v>https://mbd.baidu.com/newspage/data/landingshare?nid=news_8918101863016329611</v>
      </c>
      <c r="I66" s="3" t="s">
        <v>127</v>
      </c>
      <c r="J66" t="s">
        <v>16</v>
      </c>
    </row>
    <row r="67" ht="23" customHeight="1" spans="1:10">
      <c r="A67" s="2">
        <v>66</v>
      </c>
      <c r="B67" s="3" t="s">
        <v>128</v>
      </c>
      <c r="C67" s="2" t="s">
        <v>129</v>
      </c>
      <c r="D67" s="2" t="s">
        <v>19</v>
      </c>
      <c r="E67" s="2" t="s">
        <v>20</v>
      </c>
      <c r="F67" s="2" t="s">
        <v>13</v>
      </c>
      <c r="G67" s="2" t="s">
        <v>21</v>
      </c>
      <c r="H67" s="4" t="str">
        <f>HYPERLINK("https://c.m.163.com/news/a/KGJ6H7CE055040N3.html","https://c.m.163.com/news/a/KGJ6H7CE055040N3.html")</f>
        <v>https://c.m.163.com/news/a/KGJ6H7CE055040N3.html</v>
      </c>
      <c r="I67" s="3" t="s">
        <v>130</v>
      </c>
      <c r="J67" t="s">
        <v>16</v>
      </c>
    </row>
    <row r="68" ht="23" customHeight="1" spans="1:10">
      <c r="A68" s="2">
        <v>67</v>
      </c>
      <c r="B68" s="3" t="s">
        <v>128</v>
      </c>
      <c r="C68" s="2" t="s">
        <v>131</v>
      </c>
      <c r="D68" s="2" t="s">
        <v>11</v>
      </c>
      <c r="E68" s="2" t="s">
        <v>132</v>
      </c>
      <c r="F68" s="2" t="s">
        <v>13</v>
      </c>
      <c r="G68" s="2" t="s">
        <v>26</v>
      </c>
      <c r="H68" s="4" t="str">
        <f>HYPERLINK("https://www.toutiao.com/article/7582845957114249778/","https://www.toutiao.com/article/7582845957114249778/")</f>
        <v>https://www.toutiao.com/article/7582845957114249778/</v>
      </c>
      <c r="I68" s="3" t="s">
        <v>130</v>
      </c>
      <c r="J68" t="s">
        <v>16</v>
      </c>
    </row>
    <row r="69" ht="23" customHeight="1" spans="1:10">
      <c r="A69" s="2">
        <v>68</v>
      </c>
      <c r="B69" s="3" t="s">
        <v>128</v>
      </c>
      <c r="C69" s="2" t="s">
        <v>133</v>
      </c>
      <c r="D69" s="2" t="s">
        <v>11</v>
      </c>
      <c r="E69" s="2" t="s">
        <v>20</v>
      </c>
      <c r="F69" s="2" t="s">
        <v>13</v>
      </c>
      <c r="G69" s="2" t="s">
        <v>21</v>
      </c>
      <c r="H69" s="4" t="str">
        <f>HYPERLINK("https://www.toutiao.com/article/7582845186770731583/","https://www.toutiao.com/article/7582845186770731583/")</f>
        <v>https://www.toutiao.com/article/7582845186770731583/</v>
      </c>
      <c r="I69" s="3" t="s">
        <v>130</v>
      </c>
      <c r="J69" t="s">
        <v>16</v>
      </c>
    </row>
    <row r="70" ht="23" customHeight="1" spans="1:10">
      <c r="A70" s="2">
        <v>69</v>
      </c>
      <c r="B70" s="3" t="s">
        <v>128</v>
      </c>
      <c r="C70" s="2" t="s">
        <v>134</v>
      </c>
      <c r="D70" s="2" t="s">
        <v>19</v>
      </c>
      <c r="E70" s="2" t="s">
        <v>135</v>
      </c>
      <c r="F70" s="2" t="s">
        <v>13</v>
      </c>
      <c r="G70" s="2" t="s">
        <v>21</v>
      </c>
      <c r="H70" s="4" t="str">
        <f>HYPERLINK("https://c.m.163.com/news/a/KGJ6691S05506BEH.html","https://c.m.163.com/news/a/KGJ6691S05506BEH.html")</f>
        <v>https://c.m.163.com/news/a/KGJ6691S05506BEH.html</v>
      </c>
      <c r="I70" s="3" t="s">
        <v>130</v>
      </c>
      <c r="J70" t="s">
        <v>16</v>
      </c>
    </row>
    <row r="71" ht="23" customHeight="1" spans="1:10">
      <c r="A71" s="2">
        <v>70</v>
      </c>
      <c r="B71" s="3" t="s">
        <v>128</v>
      </c>
      <c r="C71" s="2" t="s">
        <v>136</v>
      </c>
      <c r="D71" s="2" t="s">
        <v>34</v>
      </c>
      <c r="E71" s="2" t="s">
        <v>20</v>
      </c>
      <c r="F71" s="2" t="s">
        <v>13</v>
      </c>
      <c r="G71" s="2" t="s">
        <v>21</v>
      </c>
      <c r="H71" s="4" t="str">
        <f>HYPERLINK("https://kandianshare.html5.qq.com/v2/news/6344770836265355586","https://kandianshare.html5.qq.com/v2/news/6344770836265355586")</f>
        <v>https://kandianshare.html5.qq.com/v2/news/6344770836265355586</v>
      </c>
      <c r="I71" s="3" t="s">
        <v>130</v>
      </c>
      <c r="J71" t="s">
        <v>16</v>
      </c>
    </row>
    <row r="72" ht="23" customHeight="1" spans="1:10">
      <c r="A72" s="2">
        <v>71</v>
      </c>
      <c r="B72" s="3" t="s">
        <v>128</v>
      </c>
      <c r="C72" s="2" t="s">
        <v>136</v>
      </c>
      <c r="D72" s="2" t="s">
        <v>35</v>
      </c>
      <c r="E72" s="2" t="s">
        <v>20</v>
      </c>
      <c r="F72" s="2" t="s">
        <v>13</v>
      </c>
      <c r="G72" s="2" t="s">
        <v>21</v>
      </c>
      <c r="H72" s="4" t="str">
        <f>HYPERLINK("https://new.qq.com/rain/a/20251212A043LN00","https://new.qq.com/rain/a/20251212A043LN00")</f>
        <v>https://new.qq.com/rain/a/20251212A043LN00</v>
      </c>
      <c r="I72" s="3" t="s">
        <v>130</v>
      </c>
      <c r="J72" t="s">
        <v>16</v>
      </c>
    </row>
    <row r="73" ht="23" customHeight="1" spans="1:10">
      <c r="A73" s="2">
        <v>72</v>
      </c>
      <c r="B73" s="3" t="s">
        <v>128</v>
      </c>
      <c r="C73" s="2" t="s">
        <v>137</v>
      </c>
      <c r="D73" s="2" t="s">
        <v>41</v>
      </c>
      <c r="E73" s="2" t="s">
        <v>20</v>
      </c>
      <c r="F73" s="2" t="s">
        <v>13</v>
      </c>
      <c r="G73" s="2" t="s">
        <v>21</v>
      </c>
      <c r="H73" s="4" t="str">
        <f>HYPERLINK("https://mbd.baidu.com/newspage/data/landingshare?nid=news_9054467843501688990","https://mbd.baidu.com/newspage/data/landingshare?nid=news_9054467843501688990")</f>
        <v>https://mbd.baidu.com/newspage/data/landingshare?nid=news_9054467843501688990</v>
      </c>
      <c r="I73" s="3" t="s">
        <v>130</v>
      </c>
      <c r="J73" t="s">
        <v>16</v>
      </c>
    </row>
    <row r="74" ht="23" customHeight="1" spans="1:10">
      <c r="A74" s="2">
        <v>73</v>
      </c>
      <c r="B74" s="3" t="s">
        <v>128</v>
      </c>
      <c r="C74" s="2" t="s">
        <v>137</v>
      </c>
      <c r="D74" s="2" t="s">
        <v>40</v>
      </c>
      <c r="E74" s="2" t="s">
        <v>20</v>
      </c>
      <c r="F74" s="2" t="s">
        <v>13</v>
      </c>
      <c r="G74" s="2" t="s">
        <v>21</v>
      </c>
      <c r="H74" s="4" t="str">
        <f>HYPERLINK("https://www.yoojia.com/article/9054467843501688990.html","https://www.yoojia.com/article/9054467843501688990.html")</f>
        <v>https://www.yoojia.com/article/9054467843501688990.html</v>
      </c>
      <c r="I74" s="3" t="s">
        <v>130</v>
      </c>
      <c r="J74" t="s">
        <v>16</v>
      </c>
    </row>
    <row r="75" ht="23" customHeight="1" spans="1:10">
      <c r="A75" s="2">
        <v>74</v>
      </c>
      <c r="B75" s="3" t="s">
        <v>128</v>
      </c>
      <c r="C75" s="2" t="s">
        <v>138</v>
      </c>
      <c r="D75" s="2" t="s">
        <v>43</v>
      </c>
      <c r="E75" s="2" t="s">
        <v>139</v>
      </c>
      <c r="F75" s="2" t="s">
        <v>13</v>
      </c>
      <c r="G75" s="2" t="s">
        <v>21</v>
      </c>
      <c r="H75" s="4" t="str">
        <f>HYPERLINK("https://www.jfdaily.com.cn/staticsg/res/html/web/newsDetail.html?id=1033791","https://www.jfdaily.com.cn/staticsg/res/html/web/newsDetail.html?id=1033791")</f>
        <v>https://www.jfdaily.com.cn/staticsg/res/html/web/newsDetail.html?id=1033791</v>
      </c>
      <c r="I75" s="3" t="s">
        <v>130</v>
      </c>
      <c r="J75" t="s">
        <v>16</v>
      </c>
    </row>
    <row r="76" ht="23" customHeight="1" spans="1:10">
      <c r="A76" s="2">
        <v>75</v>
      </c>
      <c r="B76" s="3" t="s">
        <v>128</v>
      </c>
      <c r="C76" s="2" t="s">
        <v>140</v>
      </c>
      <c r="D76" s="2" t="s">
        <v>43</v>
      </c>
      <c r="E76" s="2" t="s">
        <v>139</v>
      </c>
      <c r="F76" s="2" t="s">
        <v>13</v>
      </c>
      <c r="G76" s="2" t="s">
        <v>21</v>
      </c>
      <c r="H76" s="4" t="str">
        <f>HYPERLINK("https://www.jfdaily.com/staticsg/res/html/web/newsDetail.html?id=1033791","https://www.jfdaily.com/staticsg/res/html/web/newsDetail.html?id=1033791")</f>
        <v>https://www.jfdaily.com/staticsg/res/html/web/newsDetail.html?id=1033791</v>
      </c>
      <c r="I76" s="3" t="s">
        <v>130</v>
      </c>
      <c r="J76" t="s">
        <v>16</v>
      </c>
    </row>
    <row r="77" ht="23" customHeight="1" spans="1:10">
      <c r="A77" s="2">
        <v>76</v>
      </c>
      <c r="B77" s="3" t="s">
        <v>128</v>
      </c>
      <c r="C77" s="2" t="s">
        <v>140</v>
      </c>
      <c r="D77" s="2" t="s">
        <v>46</v>
      </c>
      <c r="E77" s="2" t="s">
        <v>135</v>
      </c>
      <c r="F77" s="2" t="s">
        <v>13</v>
      </c>
      <c r="G77" s="2" t="s">
        <v>21</v>
      </c>
      <c r="H77" s="4" t="str">
        <f>HYPERLINK("https://www.sohu.com/a/964417307_120244154","https://www.sohu.com/a/964417307_120244154")</f>
        <v>https://www.sohu.com/a/964417307_120244154</v>
      </c>
      <c r="I77" s="3" t="s">
        <v>130</v>
      </c>
      <c r="J77" t="s">
        <v>16</v>
      </c>
    </row>
    <row r="78" ht="23" customHeight="1" spans="1:10">
      <c r="A78" s="2">
        <v>77</v>
      </c>
      <c r="B78" s="3" t="s">
        <v>128</v>
      </c>
      <c r="C78" s="2" t="s">
        <v>140</v>
      </c>
      <c r="D78" s="2" t="s">
        <v>41</v>
      </c>
      <c r="E78" s="2" t="s">
        <v>135</v>
      </c>
      <c r="F78" s="2" t="s">
        <v>13</v>
      </c>
      <c r="G78" s="2" t="s">
        <v>21</v>
      </c>
      <c r="H78" s="4" t="str">
        <f>HYPERLINK("https://mbd.baidu.com/newspage/data/landingshare?nid=news_9474832841393448942","https://mbd.baidu.com/newspage/data/landingshare?nid=news_9474832841393448942")</f>
        <v>https://mbd.baidu.com/newspage/data/landingshare?nid=news_9474832841393448942</v>
      </c>
      <c r="I78" s="3" t="s">
        <v>130</v>
      </c>
      <c r="J78" t="s">
        <v>16</v>
      </c>
    </row>
    <row r="79" ht="23" customHeight="1" spans="1:10">
      <c r="A79" s="2">
        <v>78</v>
      </c>
      <c r="B79" s="3" t="s">
        <v>128</v>
      </c>
      <c r="C79" s="2" t="s">
        <v>140</v>
      </c>
      <c r="D79" s="2" t="s">
        <v>46</v>
      </c>
      <c r="E79" s="2" t="s">
        <v>135</v>
      </c>
      <c r="F79" s="2" t="s">
        <v>37</v>
      </c>
      <c r="G79" s="2" t="s">
        <v>21</v>
      </c>
      <c r="H79" s="4" t="str">
        <f>HYPERLINK("https://3g.k.sohu.com/t/n957003147?serialId=01dbf9ebc88ec74b19a3be8d75429c88&amp;showType=957003147","https://3g.k.sohu.com/t/n957003147?serialId=01dbf9ebc88ec74b19a3be8d75429c88&amp;showType=957003147")</f>
        <v>https://3g.k.sohu.com/t/n957003147?serialId=01dbf9ebc88ec74b19a3be8d75429c88&amp;showType=957003147</v>
      </c>
      <c r="I79" s="3" t="s">
        <v>130</v>
      </c>
      <c r="J79" t="s">
        <v>16</v>
      </c>
    </row>
    <row r="80" ht="23" customHeight="1" spans="1:10">
      <c r="A80" s="2">
        <v>79</v>
      </c>
      <c r="B80" s="3" t="s">
        <v>128</v>
      </c>
      <c r="C80" s="2" t="s">
        <v>140</v>
      </c>
      <c r="D80" s="2" t="s">
        <v>40</v>
      </c>
      <c r="E80" s="2" t="s">
        <v>135</v>
      </c>
      <c r="F80" s="2" t="s">
        <v>13</v>
      </c>
      <c r="G80" s="2" t="s">
        <v>21</v>
      </c>
      <c r="H80" s="4" t="str">
        <f>HYPERLINK("https://www.yoojia.com/article/9474832841393448942.html","https://www.yoojia.com/article/9474832841393448942.html")</f>
        <v>https://www.yoojia.com/article/9474832841393448942.html</v>
      </c>
      <c r="I80" s="3" t="s">
        <v>130</v>
      </c>
      <c r="J80" t="s">
        <v>16</v>
      </c>
    </row>
    <row r="81" ht="23" customHeight="1" spans="1:10">
      <c r="A81" s="2">
        <v>80</v>
      </c>
      <c r="B81" s="3" t="s">
        <v>141</v>
      </c>
      <c r="C81" s="2" t="s">
        <v>142</v>
      </c>
      <c r="D81" s="2" t="s">
        <v>143</v>
      </c>
      <c r="E81" s="2" t="s">
        <v>144</v>
      </c>
      <c r="F81" s="2" t="s">
        <v>145</v>
      </c>
      <c r="G81" s="2" t="s">
        <v>21</v>
      </c>
      <c r="H81" s="4" t="str">
        <f>HYPERLINK("http://www.why.com.cn/epublish/qnb/html/2025-12/11/content_121_39739.htm","http://www.why.com.cn/epublish/qnb/html/2025-12/11/content_121_39739.htm")</f>
        <v>http://www.why.com.cn/epublish/qnb/html/2025-12/11/content_121_39739.htm</v>
      </c>
      <c r="I81" s="3" t="s">
        <v>146</v>
      </c>
      <c r="J81" t="s">
        <v>16</v>
      </c>
    </row>
    <row r="82" ht="23" customHeight="1" spans="1:10">
      <c r="A82" s="2">
        <v>81</v>
      </c>
      <c r="B82" s="3" t="s">
        <v>147</v>
      </c>
      <c r="C82" s="2" t="s">
        <v>148</v>
      </c>
      <c r="D82" s="2" t="s">
        <v>107</v>
      </c>
      <c r="E82" s="2" t="s">
        <v>108</v>
      </c>
      <c r="F82" s="2" t="s">
        <v>13</v>
      </c>
      <c r="G82" s="2" t="s">
        <v>14</v>
      </c>
      <c r="H82" s="4" t="str">
        <f>HYPERLINK("https://k.sina.cn/article_7517400647_1c0126e4705907v1ki.html","https://k.sina.cn/article_7517400647_1c0126e4705907v1ki.html")</f>
        <v>https://k.sina.cn/article_7517400647_1c0126e4705907v1ki.html</v>
      </c>
      <c r="I82" s="3" t="s">
        <v>149</v>
      </c>
      <c r="J82" t="s">
        <v>16</v>
      </c>
    </row>
    <row r="83" ht="23" customHeight="1" spans="1:10">
      <c r="A83" s="2">
        <v>82</v>
      </c>
      <c r="B83" s="3" t="s">
        <v>85</v>
      </c>
      <c r="C83" s="2" t="s">
        <v>150</v>
      </c>
      <c r="D83" s="2" t="s">
        <v>19</v>
      </c>
      <c r="E83" s="2" t="s">
        <v>20</v>
      </c>
      <c r="F83" s="2" t="s">
        <v>13</v>
      </c>
      <c r="G83" s="2" t="s">
        <v>21</v>
      </c>
      <c r="H83" s="4" t="str">
        <f>HYPERLINK("https://c.m.163.com/news/a/KGF2BGNM055040N3.html","https://c.m.163.com/news/a/KGF2BGNM055040N3.html")</f>
        <v>https://c.m.163.com/news/a/KGF2BGNM055040N3.html</v>
      </c>
      <c r="I83" s="3" t="s">
        <v>151</v>
      </c>
      <c r="J83" t="s">
        <v>16</v>
      </c>
    </row>
    <row r="84" ht="23" customHeight="1" spans="1:10">
      <c r="A84" s="2">
        <v>83</v>
      </c>
      <c r="B84" s="3" t="s">
        <v>85</v>
      </c>
      <c r="C84" s="2" t="s">
        <v>152</v>
      </c>
      <c r="D84" s="2" t="s">
        <v>40</v>
      </c>
      <c r="E84" s="2" t="s">
        <v>20</v>
      </c>
      <c r="F84" s="2" t="s">
        <v>13</v>
      </c>
      <c r="G84" s="2" t="s">
        <v>21</v>
      </c>
      <c r="H84" s="4" t="str">
        <f>HYPERLINK("https://www.yoojia.com/article/9282017233952353410.html","https://www.yoojia.com/article/9282017233952353410.html")</f>
        <v>https://www.yoojia.com/article/9282017233952353410.html</v>
      </c>
      <c r="I84" s="3" t="s">
        <v>151</v>
      </c>
      <c r="J84" t="s">
        <v>16</v>
      </c>
    </row>
    <row r="85" ht="23" customHeight="1" spans="1:10">
      <c r="A85" s="2">
        <v>84</v>
      </c>
      <c r="B85" s="3" t="s">
        <v>85</v>
      </c>
      <c r="C85" s="2" t="s">
        <v>152</v>
      </c>
      <c r="D85" s="2" t="s">
        <v>41</v>
      </c>
      <c r="E85" s="2" t="s">
        <v>20</v>
      </c>
      <c r="F85" s="2" t="s">
        <v>13</v>
      </c>
      <c r="G85" s="2" t="s">
        <v>21</v>
      </c>
      <c r="H85" s="4" t="str">
        <f>HYPERLINK("https://mbd.baidu.com/newspage/data/landingshare?nid=news_9282017233952353410","https://mbd.baidu.com/newspage/data/landingshare?nid=news_9282017233952353410")</f>
        <v>https://mbd.baidu.com/newspage/data/landingshare?nid=news_9282017233952353410</v>
      </c>
      <c r="I85" s="3" t="s">
        <v>151</v>
      </c>
      <c r="J85" t="s">
        <v>16</v>
      </c>
    </row>
    <row r="86" ht="23" customHeight="1" spans="1:10">
      <c r="A86" s="2">
        <v>85</v>
      </c>
      <c r="B86" s="3" t="s">
        <v>153</v>
      </c>
      <c r="C86" s="2" t="s">
        <v>154</v>
      </c>
      <c r="D86" s="2" t="s">
        <v>155</v>
      </c>
      <c r="E86" s="2" t="s">
        <v>155</v>
      </c>
      <c r="F86" s="2" t="s">
        <v>13</v>
      </c>
      <c r="G86" s="2" t="s">
        <v>26</v>
      </c>
      <c r="H86" s="4" t="str">
        <f>HYPERLINK("http://www.why.com.cn/wx/article/2025/12/10/17653553701195822250.html","http://www.why.com.cn/wx/article/2025/12/10/17653553701195822250.html")</f>
        <v>http://www.why.com.cn/wx/article/2025/12/10/17653553701195822250.html</v>
      </c>
      <c r="I86" s="3" t="s">
        <v>156</v>
      </c>
      <c r="J86" t="s">
        <v>16</v>
      </c>
    </row>
    <row r="87" ht="23" customHeight="1" spans="1:10">
      <c r="A87" s="2">
        <v>86</v>
      </c>
      <c r="B87" s="3" t="s">
        <v>157</v>
      </c>
      <c r="C87" s="2" t="s">
        <v>158</v>
      </c>
      <c r="D87" s="2" t="s">
        <v>34</v>
      </c>
      <c r="E87" s="2" t="s">
        <v>159</v>
      </c>
      <c r="F87" s="2" t="s">
        <v>13</v>
      </c>
      <c r="G87" s="2" t="s">
        <v>21</v>
      </c>
      <c r="H87" s="4" t="str">
        <f>HYPERLINK("https://kandianshare.html5.qq.com/v2/news/1273717270292222274","https://kandianshare.html5.qq.com/v2/news/1273717270292222274")</f>
        <v>https://kandianshare.html5.qq.com/v2/news/1273717270292222274</v>
      </c>
      <c r="I87" s="3" t="s">
        <v>160</v>
      </c>
      <c r="J87" t="s">
        <v>16</v>
      </c>
    </row>
    <row r="88" ht="23" customHeight="1" spans="1:10">
      <c r="A88" s="2">
        <v>87</v>
      </c>
      <c r="B88" s="3" t="s">
        <v>157</v>
      </c>
      <c r="C88" s="2" t="s">
        <v>158</v>
      </c>
      <c r="D88" s="2" t="s">
        <v>35</v>
      </c>
      <c r="E88" s="2" t="s">
        <v>159</v>
      </c>
      <c r="F88" s="2" t="s">
        <v>13</v>
      </c>
      <c r="G88" s="2" t="s">
        <v>21</v>
      </c>
      <c r="H88" s="4" t="str">
        <f>HYPERLINK("https://new.qq.com/rain/a/20251210A035KF00","https://new.qq.com/rain/a/20251210A035KF00")</f>
        <v>https://new.qq.com/rain/a/20251210A035KF00</v>
      </c>
      <c r="I88" s="3" t="s">
        <v>160</v>
      </c>
      <c r="J88" t="s">
        <v>16</v>
      </c>
    </row>
    <row r="89" ht="23" customHeight="1" spans="1:10">
      <c r="A89" s="2">
        <v>88</v>
      </c>
      <c r="B89" s="3" t="s">
        <v>157</v>
      </c>
      <c r="C89" s="2" t="s">
        <v>161</v>
      </c>
      <c r="D89" s="2" t="s">
        <v>41</v>
      </c>
      <c r="E89" s="2" t="s">
        <v>159</v>
      </c>
      <c r="F89" s="2" t="s">
        <v>13</v>
      </c>
      <c r="G89" s="2" t="s">
        <v>21</v>
      </c>
      <c r="H89" s="4" t="str">
        <f>HYPERLINK("https://mbd.baidu.com/newspage/data/landingshare?nid=news_9364344322305652453","https://mbd.baidu.com/newspage/data/landingshare?nid=news_9364344322305652453")</f>
        <v>https://mbd.baidu.com/newspage/data/landingshare?nid=news_9364344322305652453</v>
      </c>
      <c r="I89" s="3" t="s">
        <v>162</v>
      </c>
      <c r="J89" t="s">
        <v>16</v>
      </c>
    </row>
    <row r="90" ht="23" customHeight="1" spans="1:10">
      <c r="A90" s="2">
        <v>89</v>
      </c>
      <c r="B90" s="3" t="s">
        <v>157</v>
      </c>
      <c r="C90" s="2" t="s">
        <v>161</v>
      </c>
      <c r="D90" s="2" t="s">
        <v>40</v>
      </c>
      <c r="E90" s="2" t="s">
        <v>159</v>
      </c>
      <c r="F90" s="2" t="s">
        <v>13</v>
      </c>
      <c r="G90" s="2" t="s">
        <v>21</v>
      </c>
      <c r="H90" s="4" t="str">
        <f>HYPERLINK("https://www.yoojia.com/article/9364344322305652453.html","https://www.yoojia.com/article/9364344322305652453.html")</f>
        <v>https://www.yoojia.com/article/9364344322305652453.html</v>
      </c>
      <c r="I90" s="3" t="s">
        <v>162</v>
      </c>
      <c r="J90" t="s">
        <v>16</v>
      </c>
    </row>
    <row r="91" ht="23" customHeight="1" spans="1:10">
      <c r="A91" s="2">
        <v>90</v>
      </c>
      <c r="B91" s="3" t="s">
        <v>157</v>
      </c>
      <c r="C91" s="2" t="s">
        <v>163</v>
      </c>
      <c r="D91" s="2" t="s">
        <v>159</v>
      </c>
      <c r="E91" s="2" t="s">
        <v>164</v>
      </c>
      <c r="F91" s="2" t="s">
        <v>13</v>
      </c>
      <c r="G91" s="2" t="s">
        <v>21</v>
      </c>
      <c r="H91" s="4" t="str">
        <f>HYPERLINK("https://static.zhoudaosh.com/files/cnews/2025/20251210/A62FBC96221FB5FD4B13E4836EB534309C1241A45C1D6B615A2A005F42746F6D/1.html","https://static.zhoudaosh.com/files/cnews/2025/20251210/A62FBC96221FB5FD4B13E4836EB534309C1241A45C1D6B615A2A005F42746F6D/1.html")</f>
        <v>https://static.zhoudaosh.com/files/cnews/2025/20251210/A62FBC96221FB5FD4B13E4836EB534309C1241A45C1D6B615A2A005F42746F6D/1.html</v>
      </c>
      <c r="I91" s="3" t="s">
        <v>160</v>
      </c>
      <c r="J91" t="s">
        <v>16</v>
      </c>
    </row>
    <row r="92" ht="23" customHeight="1" spans="1:10">
      <c r="A92" s="2">
        <v>91</v>
      </c>
      <c r="B92" s="3" t="s">
        <v>157</v>
      </c>
      <c r="C92" s="2" t="s">
        <v>163</v>
      </c>
      <c r="D92" s="2" t="s">
        <v>159</v>
      </c>
      <c r="E92" s="2" t="s">
        <v>164</v>
      </c>
      <c r="F92" s="2" t="s">
        <v>13</v>
      </c>
      <c r="G92" s="2" t="s">
        <v>21</v>
      </c>
      <c r="H92" s="4" t="str">
        <f>HYPERLINK("https://www.shxwcb.com/#/detail/A62FBC96221FB5FD4B13E4836EB534309C1241A45C1D6B615A2A005F42746F6D","https://www.shxwcb.com/#/detail/A62FBC96221FB5FD4B13E4836EB534309C1241A45C1D6B615A2A005F42746F6D")</f>
        <v>https://www.shxwcb.com/#/detail/A62FBC96221FB5FD4B13E4836EB534309C1241A45C1D6B615A2A005F42746F6D</v>
      </c>
      <c r="I92" s="3" t="s">
        <v>160</v>
      </c>
      <c r="J92" t="s">
        <v>16</v>
      </c>
    </row>
    <row r="93" ht="23" customHeight="1" spans="1:10">
      <c r="A93" s="2">
        <v>92</v>
      </c>
      <c r="B93" s="3" t="s">
        <v>165</v>
      </c>
      <c r="C93" s="2" t="s">
        <v>166</v>
      </c>
      <c r="D93" s="2" t="s">
        <v>12</v>
      </c>
      <c r="E93" s="2" t="s">
        <v>12</v>
      </c>
      <c r="F93" s="2" t="s">
        <v>13</v>
      </c>
      <c r="G93" s="2" t="s">
        <v>14</v>
      </c>
      <c r="H93" s="4" t="str">
        <f>HYPERLINK("http://sh.news.cn/20251209/2ff748bc58254ca9b83773306440565a/c.html","http://sh.news.cn/20251209/2ff748bc58254ca9b83773306440565a/c.html")</f>
        <v>http://sh.news.cn/20251209/2ff748bc58254ca9b83773306440565a/c.html</v>
      </c>
      <c r="I93" s="3" t="s">
        <v>167</v>
      </c>
      <c r="J93" t="s">
        <v>16</v>
      </c>
    </row>
    <row r="94" ht="23" customHeight="1" spans="1:10">
      <c r="A94" s="2">
        <v>93</v>
      </c>
      <c r="B94" s="3" t="s">
        <v>168</v>
      </c>
      <c r="C94" s="2" t="s">
        <v>169</v>
      </c>
      <c r="D94" s="2" t="s">
        <v>170</v>
      </c>
      <c r="E94" s="2" t="s">
        <v>170</v>
      </c>
      <c r="F94" s="2" t="s">
        <v>37</v>
      </c>
      <c r="G94" s="2" t="s">
        <v>21</v>
      </c>
      <c r="H94" s="4" t="str">
        <f>HYPERLINK("https://m.kankanews.com/detail/7my5MOGLAy9","https://m.kankanews.com/detail/7my5MOGLAy9")</f>
        <v>https://m.kankanews.com/detail/7my5MOGLAy9</v>
      </c>
      <c r="I94" s="3" t="s">
        <v>171</v>
      </c>
      <c r="J94" t="s">
        <v>16</v>
      </c>
    </row>
    <row r="95" ht="23" customHeight="1" spans="1:10">
      <c r="A95" s="2">
        <v>94</v>
      </c>
      <c r="B95" s="3" t="s">
        <v>172</v>
      </c>
      <c r="C95" s="2" t="s">
        <v>173</v>
      </c>
      <c r="D95" s="2" t="s">
        <v>170</v>
      </c>
      <c r="E95" s="2" t="s">
        <v>170</v>
      </c>
      <c r="F95" s="2" t="s">
        <v>37</v>
      </c>
      <c r="G95" s="2" t="s">
        <v>21</v>
      </c>
      <c r="H95" s="4" t="str">
        <f>HYPERLINK("https://m.kankanews.com/detail/0zwqv1blj27","https://m.kankanews.com/detail/0zwqv1blj27")</f>
        <v>https://m.kankanews.com/detail/0zwqv1blj27</v>
      </c>
      <c r="I95" s="3" t="s">
        <v>174</v>
      </c>
      <c r="J95" t="s">
        <v>16</v>
      </c>
    </row>
    <row r="96" ht="23" customHeight="1" spans="1:10">
      <c r="A96" s="2">
        <v>95</v>
      </c>
      <c r="B96" s="3" t="s">
        <v>165</v>
      </c>
      <c r="C96" s="2" t="s">
        <v>175</v>
      </c>
      <c r="D96" s="2" t="s">
        <v>40</v>
      </c>
      <c r="E96" s="2" t="s">
        <v>176</v>
      </c>
      <c r="F96" s="2" t="s">
        <v>13</v>
      </c>
      <c r="G96" s="2" t="s">
        <v>14</v>
      </c>
      <c r="H96" s="4" t="str">
        <f>HYPERLINK("https://www.yoojia.com/video/16467178348036411037.html","https://www.yoojia.com/video/16467178348036411037.html")</f>
        <v>https://www.yoojia.com/video/16467178348036411037.html</v>
      </c>
      <c r="I96" s="3" t="s">
        <v>177</v>
      </c>
      <c r="J96" t="s">
        <v>16</v>
      </c>
    </row>
    <row r="97" ht="23" customHeight="1" spans="1:10">
      <c r="A97" s="2">
        <v>96</v>
      </c>
      <c r="B97" s="3" t="s">
        <v>165</v>
      </c>
      <c r="C97" s="2" t="s">
        <v>178</v>
      </c>
      <c r="D97" s="2" t="s">
        <v>41</v>
      </c>
      <c r="E97" s="2" t="s">
        <v>176</v>
      </c>
      <c r="F97" s="2" t="s">
        <v>13</v>
      </c>
      <c r="G97" s="2" t="s">
        <v>14</v>
      </c>
      <c r="H97" s="4" t="str">
        <f>HYPERLINK("https://mbd.baidu.com/newspage/data/landingshare?nid=news_10596794001418579363","https://mbd.baidu.com/newspage/data/landingshare?nid=news_10596794001418579363")</f>
        <v>https://mbd.baidu.com/newspage/data/landingshare?nid=news_10596794001418579363</v>
      </c>
      <c r="I97" s="3" t="s">
        <v>179</v>
      </c>
      <c r="J97" t="s">
        <v>16</v>
      </c>
    </row>
    <row r="98" ht="23" customHeight="1" spans="1:10">
      <c r="A98" s="2">
        <v>97</v>
      </c>
      <c r="B98" s="3" t="s">
        <v>165</v>
      </c>
      <c r="C98" s="2" t="s">
        <v>178</v>
      </c>
      <c r="D98" s="2" t="s">
        <v>46</v>
      </c>
      <c r="E98" s="2" t="s">
        <v>176</v>
      </c>
      <c r="F98" s="2" t="s">
        <v>37</v>
      </c>
      <c r="G98" s="2" t="s">
        <v>14</v>
      </c>
      <c r="H98" s="4" t="str">
        <f>HYPERLINK("https://3g.k.sohu.com/t/n955603455?serialId=d808f1027874728fd4d641da383b2e13&amp;showType=955603455","https://3g.k.sohu.com/t/n955603455?serialId=d808f1027874728fd4d641da383b2e13&amp;showType=955603455")</f>
        <v>https://3g.k.sohu.com/t/n955603455?serialId=d808f1027874728fd4d641da383b2e13&amp;showType=955603455</v>
      </c>
      <c r="I98" s="3" t="s">
        <v>177</v>
      </c>
      <c r="J98" t="s">
        <v>16</v>
      </c>
    </row>
    <row r="99" ht="23" customHeight="1" spans="1:10">
      <c r="A99" s="2">
        <v>98</v>
      </c>
      <c r="B99" s="3" t="s">
        <v>180</v>
      </c>
      <c r="C99" s="2" t="s">
        <v>181</v>
      </c>
      <c r="D99" s="2" t="s">
        <v>71</v>
      </c>
      <c r="E99" s="2" t="s">
        <v>182</v>
      </c>
      <c r="F99" s="2" t="s">
        <v>37</v>
      </c>
      <c r="G99" s="2" t="s">
        <v>21</v>
      </c>
      <c r="H99" s="4" t="str">
        <f>HYPERLINK("https://j.021east.com/m/1765172024049557","https://j.021east.com/m/1765172024049557")</f>
        <v>https://j.021east.com/m/1765172024049557</v>
      </c>
      <c r="I99" s="3" t="s">
        <v>183</v>
      </c>
      <c r="J99" t="s">
        <v>16</v>
      </c>
    </row>
    <row r="100" ht="23" customHeight="1" spans="1:10">
      <c r="A100" s="2">
        <v>99</v>
      </c>
      <c r="B100" s="3" t="s">
        <v>184</v>
      </c>
      <c r="C100" s="2" t="s">
        <v>185</v>
      </c>
      <c r="D100" s="2" t="s">
        <v>186</v>
      </c>
      <c r="E100" s="2" t="s">
        <v>187</v>
      </c>
      <c r="F100" s="2" t="s">
        <v>145</v>
      </c>
      <c r="G100" s="2" t="s">
        <v>21</v>
      </c>
      <c r="H100" s="4" t="str">
        <f>HYPERLINK("https://web.shobserver.com/staticsg/res/html/journal/detail.html?code=dftyrb&amp;date=2025-12-08&amp;id=479637&amp;page=A10","https://web.shobserver.com/staticsg/res/html/journal/detail.html?code=dftyrb&amp;date=2025-12-08&amp;id=479637&amp;page=A10")</f>
        <v>https://web.shobserver.com/staticsg/res/html/journal/detail.html?code=dftyrb&amp;date=2025-12-08&amp;id=479637&amp;page=A10</v>
      </c>
      <c r="I100" s="3" t="s">
        <v>188</v>
      </c>
      <c r="J100" t="s">
        <v>16</v>
      </c>
    </row>
    <row r="101" ht="23" customHeight="1" spans="1:10">
      <c r="A101" s="2">
        <v>100</v>
      </c>
      <c r="B101" s="3" t="s">
        <v>189</v>
      </c>
      <c r="C101" s="2" t="s">
        <v>190</v>
      </c>
      <c r="D101" s="2" t="s">
        <v>29</v>
      </c>
      <c r="E101" s="2" t="s">
        <v>191</v>
      </c>
      <c r="F101" s="2" t="s">
        <v>13</v>
      </c>
      <c r="G101" s="2" t="s">
        <v>14</v>
      </c>
      <c r="H101" s="4" t="str">
        <f>HYPERLINK("https://finance.sina.cn/2025-12-07/detail-infzynqa4503587.d.html","https://finance.sina.cn/2025-12-07/detail-infzynqa4503587.d.html")</f>
        <v>https://finance.sina.cn/2025-12-07/detail-infzynqa4503587.d.html</v>
      </c>
      <c r="I101" s="3" t="s">
        <v>192</v>
      </c>
      <c r="J101" t="s">
        <v>16</v>
      </c>
    </row>
    <row r="102" ht="23" customHeight="1" spans="1:10">
      <c r="A102" s="2">
        <v>101</v>
      </c>
      <c r="B102" s="3" t="s">
        <v>193</v>
      </c>
      <c r="C102" s="2" t="s">
        <v>194</v>
      </c>
      <c r="D102" s="2" t="s">
        <v>195</v>
      </c>
      <c r="E102" s="2" t="s">
        <v>196</v>
      </c>
      <c r="F102" s="2" t="s">
        <v>13</v>
      </c>
      <c r="G102" s="2" t="s">
        <v>26</v>
      </c>
      <c r="H102" s="4" t="str">
        <f>HYPERLINK("https://cell.jkwshk.tv/cellzz/yaxwd/20251206/2230601.html","https://cell.jkwshk.tv/cellzz/yaxwd/20251206/2230601.html")</f>
        <v>https://cell.jkwshk.tv/cellzz/yaxwd/20251206/2230601.html</v>
      </c>
      <c r="I102" s="3" t="s">
        <v>197</v>
      </c>
      <c r="J102" t="s">
        <v>16</v>
      </c>
    </row>
    <row r="103" ht="23" customHeight="1" spans="1:10">
      <c r="A103" s="2">
        <v>102</v>
      </c>
      <c r="B103" s="3" t="s">
        <v>198</v>
      </c>
      <c r="C103" s="2" t="s">
        <v>199</v>
      </c>
      <c r="D103" s="2" t="s">
        <v>46</v>
      </c>
      <c r="E103" s="2" t="s">
        <v>200</v>
      </c>
      <c r="F103" s="2" t="s">
        <v>37</v>
      </c>
      <c r="G103" s="2" t="s">
        <v>201</v>
      </c>
      <c r="H103" s="4" t="str">
        <f>HYPERLINK("https://3g.k.sohu.com/t/n954796999?serialId=0e7cb0d77f412a75e4ed421d8c11bde8&amp;showType=954796999","https://3g.k.sohu.com/t/n954796999?serialId=0e7cb0d77f412a75e4ed421d8c11bde8&amp;showType=954796999")</f>
        <v>https://3g.k.sohu.com/t/n954796999?serialId=0e7cb0d77f412a75e4ed421d8c11bde8&amp;showType=954796999</v>
      </c>
      <c r="I103" s="3" t="s">
        <v>202</v>
      </c>
      <c r="J103" t="s">
        <v>16</v>
      </c>
    </row>
    <row r="104" ht="23" customHeight="1" spans="1:10">
      <c r="A104" s="2">
        <v>103</v>
      </c>
      <c r="B104" s="3" t="s">
        <v>203</v>
      </c>
      <c r="C104" s="2" t="s">
        <v>204</v>
      </c>
      <c r="D104" s="2" t="s">
        <v>41</v>
      </c>
      <c r="E104" s="2" t="s">
        <v>20</v>
      </c>
      <c r="F104" s="2" t="s">
        <v>13</v>
      </c>
      <c r="G104" s="2" t="s">
        <v>21</v>
      </c>
      <c r="H104" s="4" t="str">
        <f>HYPERLINK("https://mbd.baidu.com/newspage/data/landingshare?nid=news_9407223381705926496","https://mbd.baidu.com/newspage/data/landingshare?nid=news_9407223381705926496")</f>
        <v>https://mbd.baidu.com/newspage/data/landingshare?nid=news_9407223381705926496</v>
      </c>
      <c r="I104" s="3" t="s">
        <v>205</v>
      </c>
      <c r="J104" t="s">
        <v>16</v>
      </c>
    </row>
    <row r="105" ht="23" customHeight="1" spans="1:10">
      <c r="A105" s="2">
        <v>104</v>
      </c>
      <c r="B105" s="3" t="s">
        <v>203</v>
      </c>
      <c r="C105" s="2" t="s">
        <v>204</v>
      </c>
      <c r="D105" s="2" t="s">
        <v>40</v>
      </c>
      <c r="E105" s="2" t="s">
        <v>20</v>
      </c>
      <c r="F105" s="2" t="s">
        <v>13</v>
      </c>
      <c r="G105" s="2" t="s">
        <v>21</v>
      </c>
      <c r="H105" s="4" t="str">
        <f>HYPERLINK("https://www.yoojia.com/article/9407223381705926496.html","https://www.yoojia.com/article/9407223381705926496.html")</f>
        <v>https://www.yoojia.com/article/9407223381705926496.html</v>
      </c>
      <c r="I105" s="3" t="s">
        <v>205</v>
      </c>
      <c r="J105" t="s">
        <v>16</v>
      </c>
    </row>
    <row r="106" ht="23" customHeight="1" spans="1:10">
      <c r="A106" s="2">
        <v>105</v>
      </c>
      <c r="B106" s="3" t="s">
        <v>206</v>
      </c>
      <c r="C106" s="2" t="s">
        <v>207</v>
      </c>
      <c r="D106" s="2" t="s">
        <v>91</v>
      </c>
      <c r="E106" s="2" t="s">
        <v>20</v>
      </c>
      <c r="F106" s="2" t="s">
        <v>91</v>
      </c>
      <c r="G106" s="2" t="s">
        <v>21</v>
      </c>
      <c r="H106" s="4" t="str">
        <f>HYPERLINK("http://mp.weixin.qq.com/s?__biz=MjM5ODI2NDMwMw==&amp;mid=2653308745&amp;idx=3&amp;sn=882a8ed76d835d603d523763c1fdf8fa","http://mp.weixin.qq.com/s?__biz=MjM5ODI2NDMwMw==&amp;mid=2653308745&amp;idx=3&amp;sn=882a8ed76d835d603d523763c1fdf8fa")</f>
        <v>http://mp.weixin.qq.com/s?__biz=MjM5ODI2NDMwMw==&amp;mid=2653308745&amp;idx=3&amp;sn=882a8ed76d835d603d523763c1fdf8fa</v>
      </c>
      <c r="I106" s="3" t="s">
        <v>208</v>
      </c>
      <c r="J106" t="s">
        <v>16</v>
      </c>
    </row>
    <row r="107" ht="23" customHeight="1" spans="1:10">
      <c r="A107" s="2">
        <v>106</v>
      </c>
      <c r="B107" s="3" t="s">
        <v>209</v>
      </c>
      <c r="C107" s="2" t="s">
        <v>210</v>
      </c>
      <c r="D107" s="2" t="s">
        <v>211</v>
      </c>
      <c r="E107" s="2" t="s">
        <v>211</v>
      </c>
      <c r="F107" s="2" t="s">
        <v>13</v>
      </c>
      <c r="G107" s="2" t="s">
        <v>14</v>
      </c>
      <c r="H107" s="4" t="str">
        <f>HYPERLINK("https://m.huanqiu.com/article/4PMUMP8GX3K","https://m.huanqiu.com/article/4PMUMP8GX3K")</f>
        <v>https://m.huanqiu.com/article/4PMUMP8GX3K</v>
      </c>
      <c r="I107" s="3" t="s">
        <v>212</v>
      </c>
      <c r="J107" t="s">
        <v>16</v>
      </c>
    </row>
    <row r="108" ht="23" customHeight="1" spans="1:10">
      <c r="A108" s="2">
        <v>107</v>
      </c>
      <c r="B108" s="3" t="s">
        <v>213</v>
      </c>
      <c r="C108" s="2" t="s">
        <v>214</v>
      </c>
      <c r="D108" s="2" t="s">
        <v>215</v>
      </c>
      <c r="E108" s="2" t="s">
        <v>215</v>
      </c>
      <c r="F108" s="2" t="s">
        <v>13</v>
      </c>
      <c r="G108" s="2" t="s">
        <v>21</v>
      </c>
      <c r="H108" s="4" t="str">
        <f>HYPERLINK("http://edu.eastday.com/node2/jypd/n5/20251201/u1ai66768.html","http://edu.eastday.com/node2/jypd/n5/20251201/u1ai66768.html")</f>
        <v>http://edu.eastday.com/node2/jypd/n5/20251201/u1ai66768.html</v>
      </c>
      <c r="I108" s="3" t="s">
        <v>216</v>
      </c>
      <c r="J108" t="s">
        <v>16</v>
      </c>
    </row>
    <row r="109" ht="23" customHeight="1" spans="1:10">
      <c r="A109" s="2">
        <v>108</v>
      </c>
      <c r="B109" s="3" t="s">
        <v>209</v>
      </c>
      <c r="C109" s="2" t="s">
        <v>217</v>
      </c>
      <c r="D109" s="2" t="s">
        <v>211</v>
      </c>
      <c r="E109" s="2" t="s">
        <v>211</v>
      </c>
      <c r="F109" s="2" t="s">
        <v>13</v>
      </c>
      <c r="G109" s="2" t="s">
        <v>14</v>
      </c>
      <c r="H109" s="4" t="str">
        <f>HYPERLINK("https://yrd.huanqiu.com/article/4PMUMP8GX3K","https://yrd.huanqiu.com/article/4PMUMP8GX3K")</f>
        <v>https://yrd.huanqiu.com/article/4PMUMP8GX3K</v>
      </c>
      <c r="I109" s="3" t="s">
        <v>212</v>
      </c>
      <c r="J109" t="s">
        <v>16</v>
      </c>
    </row>
    <row r="110" ht="23" customHeight="1" spans="1:10">
      <c r="A110" s="2">
        <v>109</v>
      </c>
      <c r="B110" s="3" t="s">
        <v>209</v>
      </c>
      <c r="C110" s="2" t="s">
        <v>218</v>
      </c>
      <c r="D110" s="2" t="s">
        <v>63</v>
      </c>
      <c r="E110" s="2" t="s">
        <v>64</v>
      </c>
      <c r="F110" s="2" t="s">
        <v>13</v>
      </c>
      <c r="G110" s="2" t="s">
        <v>14</v>
      </c>
      <c r="H110" s="4" t="str">
        <f>HYPERLINK("https://caijing.chinadaily.com.cn/a/202511/29/WS692a7ca2a310942cc49940f1.html","https://caijing.chinadaily.com.cn/a/202511/29/WS692a7ca2a310942cc49940f1.html")</f>
        <v>https://caijing.chinadaily.com.cn/a/202511/29/WS692a7ca2a310942cc49940f1.html</v>
      </c>
      <c r="I110" s="3" t="s">
        <v>212</v>
      </c>
      <c r="J110" t="s">
        <v>16</v>
      </c>
    </row>
    <row r="111" ht="23" customHeight="1" spans="1:10">
      <c r="A111" s="2">
        <v>110</v>
      </c>
      <c r="B111" s="3" t="s">
        <v>219</v>
      </c>
      <c r="C111" s="2" t="s">
        <v>220</v>
      </c>
      <c r="D111" s="2" t="s">
        <v>215</v>
      </c>
      <c r="E111" s="2" t="s">
        <v>221</v>
      </c>
      <c r="F111" s="2" t="s">
        <v>13</v>
      </c>
      <c r="G111" s="2" t="s">
        <v>21</v>
      </c>
      <c r="H111" s="4" t="str">
        <f>HYPERLINK("http://edu.eastday.com/node2/jypd/n5/20251128/u1ai66759.html","http://edu.eastday.com/node2/jypd/n5/20251128/u1ai66759.html")</f>
        <v>http://edu.eastday.com/node2/jypd/n5/20251128/u1ai66759.html</v>
      </c>
      <c r="I111" s="3" t="s">
        <v>222</v>
      </c>
      <c r="J111" t="s">
        <v>16</v>
      </c>
    </row>
    <row r="112" ht="23" customHeight="1" spans="1:10">
      <c r="A112" s="2">
        <v>111</v>
      </c>
      <c r="B112" s="3" t="s">
        <v>209</v>
      </c>
      <c r="C112" s="2" t="s">
        <v>223</v>
      </c>
      <c r="D112" s="2" t="s">
        <v>40</v>
      </c>
      <c r="E112" s="2" t="s">
        <v>224</v>
      </c>
      <c r="F112" s="2" t="s">
        <v>13</v>
      </c>
      <c r="G112" s="2" t="s">
        <v>14</v>
      </c>
      <c r="H112" s="4" t="str">
        <f>HYPERLINK("https://www.yoojia.com/article/8613660514938615724.html","https://www.yoojia.com/article/8613660514938615724.html")</f>
        <v>https://www.yoojia.com/article/8613660514938615724.html</v>
      </c>
      <c r="I112" s="3" t="s">
        <v>212</v>
      </c>
      <c r="J112" t="s">
        <v>16</v>
      </c>
    </row>
    <row r="113" ht="23" customHeight="1" spans="1:10">
      <c r="A113" s="2">
        <v>112</v>
      </c>
      <c r="B113" s="3" t="s">
        <v>209</v>
      </c>
      <c r="C113" s="2" t="s">
        <v>225</v>
      </c>
      <c r="D113" s="2" t="s">
        <v>226</v>
      </c>
      <c r="E113" s="2" t="s">
        <v>226</v>
      </c>
      <c r="F113" s="2" t="s">
        <v>13</v>
      </c>
      <c r="G113" s="2" t="s">
        <v>14</v>
      </c>
      <c r="H113" s="4" t="str">
        <f>HYPERLINK("https://www.cet.com.cn/wzsy/cyzx/10286182.shtml","https://www.cet.com.cn/wzsy/cyzx/10286182.shtml")</f>
        <v>https://www.cet.com.cn/wzsy/cyzx/10286182.shtml</v>
      </c>
      <c r="I113" s="3" t="s">
        <v>212</v>
      </c>
      <c r="J113" t="s">
        <v>16</v>
      </c>
    </row>
    <row r="114" ht="23" customHeight="1" spans="1:10">
      <c r="A114" s="2">
        <v>113</v>
      </c>
      <c r="B114" s="3" t="s">
        <v>209</v>
      </c>
      <c r="C114" s="2" t="s">
        <v>227</v>
      </c>
      <c r="D114" s="2" t="s">
        <v>228</v>
      </c>
      <c r="E114" s="2" t="s">
        <v>228</v>
      </c>
      <c r="F114" s="2" t="s">
        <v>13</v>
      </c>
      <c r="G114" s="2" t="s">
        <v>14</v>
      </c>
      <c r="H114" s="4" t="str">
        <f>HYPERLINK("https://www.zgswcn.com/news.html?aid=309300","https://www.zgswcn.com/news.html?aid=309300")</f>
        <v>https://www.zgswcn.com/news.html?aid=309300</v>
      </c>
      <c r="I114" s="3" t="s">
        <v>212</v>
      </c>
      <c r="J114" t="s">
        <v>16</v>
      </c>
    </row>
    <row r="115" ht="23" customHeight="1" spans="1:10">
      <c r="A115" s="2">
        <v>114</v>
      </c>
      <c r="B115" s="3" t="s">
        <v>209</v>
      </c>
      <c r="C115" s="2" t="s">
        <v>229</v>
      </c>
      <c r="D115" s="2" t="s">
        <v>230</v>
      </c>
      <c r="E115" s="2" t="s">
        <v>230</v>
      </c>
      <c r="F115" s="2" t="s">
        <v>37</v>
      </c>
      <c r="G115" s="2" t="s">
        <v>201</v>
      </c>
      <c r="H115" s="4" t="str">
        <f>HYPERLINK("http://3g.cnfol.com/news/shangyeyaowen/20251128/31831672.shtml","http://3g.cnfol.com/news/shangyeyaowen/20251128/31831672.shtml")</f>
        <v>http://3g.cnfol.com/news/shangyeyaowen/20251128/31831672.shtml</v>
      </c>
      <c r="I115" s="3" t="s">
        <v>231</v>
      </c>
      <c r="J115" t="s">
        <v>16</v>
      </c>
    </row>
    <row r="116" ht="23" customHeight="1" spans="1:10">
      <c r="A116" s="2">
        <v>115</v>
      </c>
      <c r="B116" s="3" t="s">
        <v>209</v>
      </c>
      <c r="C116" s="2" t="s">
        <v>232</v>
      </c>
      <c r="D116" s="2" t="s">
        <v>230</v>
      </c>
      <c r="E116" s="2" t="s">
        <v>230</v>
      </c>
      <c r="F116" s="2" t="s">
        <v>13</v>
      </c>
      <c r="G116" s="2" t="s">
        <v>201</v>
      </c>
      <c r="H116" s="4" t="str">
        <f>HYPERLINK("http://news.cnfol.com/shangyeyaowen/20251128/31831672.shtml","http://news.cnfol.com/shangyeyaowen/20251128/31831672.shtml")</f>
        <v>http://news.cnfol.com/shangyeyaowen/20251128/31831672.shtml</v>
      </c>
      <c r="I116" s="3" t="s">
        <v>212</v>
      </c>
      <c r="J116" t="s">
        <v>16</v>
      </c>
    </row>
    <row r="117" ht="23" customHeight="1" spans="1:10">
      <c r="A117" s="2">
        <v>116</v>
      </c>
      <c r="B117" s="3" t="s">
        <v>209</v>
      </c>
      <c r="C117" s="2" t="s">
        <v>233</v>
      </c>
      <c r="D117" s="2" t="s">
        <v>234</v>
      </c>
      <c r="E117" s="2" t="s">
        <v>234</v>
      </c>
      <c r="F117" s="2" t="s">
        <v>13</v>
      </c>
      <c r="G117" s="2" t="s">
        <v>26</v>
      </c>
      <c r="H117" s="4" t="str">
        <f>HYPERLINK("https://www.fromgeek.com/daily/1044-709659.html","https://www.fromgeek.com/daily/1044-709659.html")</f>
        <v>https://www.fromgeek.com/daily/1044-709659.html</v>
      </c>
      <c r="I117" s="3" t="s">
        <v>212</v>
      </c>
      <c r="J117" t="s">
        <v>16</v>
      </c>
    </row>
    <row r="118" ht="23" customHeight="1" spans="1:10">
      <c r="A118" s="2">
        <v>117</v>
      </c>
      <c r="B118" s="3" t="s">
        <v>209</v>
      </c>
      <c r="C118" s="2" t="s">
        <v>235</v>
      </c>
      <c r="D118" s="2" t="s">
        <v>71</v>
      </c>
      <c r="E118" s="2" t="s">
        <v>72</v>
      </c>
      <c r="F118" s="2" t="s">
        <v>13</v>
      </c>
      <c r="G118" s="2" t="s">
        <v>21</v>
      </c>
      <c r="H118" s="4" t="str">
        <f>HYPERLINK("http://qiye.eastday.com/n35/u1ai1405317.html","http://qiye.eastday.com/n35/u1ai1405317.html")</f>
        <v>http://qiye.eastday.com/n35/u1ai1405317.html</v>
      </c>
      <c r="I118" s="3" t="s">
        <v>212</v>
      </c>
      <c r="J118" t="s">
        <v>16</v>
      </c>
    </row>
    <row r="119" ht="23" customHeight="1" spans="1:10">
      <c r="A119" s="2">
        <v>118</v>
      </c>
      <c r="B119" s="3" t="s">
        <v>236</v>
      </c>
      <c r="C119" s="2" t="s">
        <v>237</v>
      </c>
      <c r="D119" s="2" t="s">
        <v>46</v>
      </c>
      <c r="E119" s="2" t="s">
        <v>238</v>
      </c>
      <c r="F119" s="2" t="s">
        <v>37</v>
      </c>
      <c r="G119" s="2" t="s">
        <v>26</v>
      </c>
      <c r="H119" s="4" t="str">
        <f>HYPERLINK("https://3g.k.sohu.com/t/n952431173?serialId=985a1c86bfa88e50012ac60462e6600f&amp;showType=952431173","https://3g.k.sohu.com/t/n952431173?serialId=985a1c86bfa88e50012ac60462e6600f&amp;showType=952431173")</f>
        <v>https://3g.k.sohu.com/t/n952431173?serialId=985a1c86bfa88e50012ac60462e6600f&amp;showType=952431173</v>
      </c>
      <c r="I119" s="3" t="s">
        <v>239</v>
      </c>
      <c r="J119" t="s">
        <v>16</v>
      </c>
    </row>
    <row r="120" ht="23" customHeight="1" spans="1:10">
      <c r="A120" s="2">
        <v>119</v>
      </c>
      <c r="B120" s="3" t="s">
        <v>240</v>
      </c>
      <c r="C120" s="2" t="s">
        <v>241</v>
      </c>
      <c r="D120" s="2" t="s">
        <v>41</v>
      </c>
      <c r="E120" s="2" t="s">
        <v>20</v>
      </c>
      <c r="F120" s="2" t="s">
        <v>13</v>
      </c>
      <c r="G120" s="2" t="s">
        <v>21</v>
      </c>
      <c r="H120" s="4" t="str">
        <f>HYPERLINK("https://mbd.baidu.com/newspage/data/landingshare?nid=news_10367900591441571830","https://mbd.baidu.com/newspage/data/landingshare?nid=news_10367900591441571830")</f>
        <v>https://mbd.baidu.com/newspage/data/landingshare?nid=news_10367900591441571830</v>
      </c>
      <c r="I120" s="3" t="s">
        <v>242</v>
      </c>
      <c r="J120" t="s">
        <v>16</v>
      </c>
    </row>
    <row r="121" ht="23" customHeight="1" spans="1:10">
      <c r="A121" s="2">
        <v>120</v>
      </c>
      <c r="B121" s="3" t="s">
        <v>240</v>
      </c>
      <c r="C121" s="2" t="s">
        <v>241</v>
      </c>
      <c r="D121" s="2" t="s">
        <v>40</v>
      </c>
      <c r="E121" s="2" t="s">
        <v>20</v>
      </c>
      <c r="F121" s="2" t="s">
        <v>13</v>
      </c>
      <c r="G121" s="2" t="s">
        <v>21</v>
      </c>
      <c r="H121" s="4" t="str">
        <f>HYPERLINK("https://www.yoojia.com/article/10367900591441571830.html","https://www.yoojia.com/article/10367900591441571830.html")</f>
        <v>https://www.yoojia.com/article/10367900591441571830.html</v>
      </c>
      <c r="I121" s="3" t="s">
        <v>242</v>
      </c>
      <c r="J121" t="s">
        <v>16</v>
      </c>
    </row>
    <row r="122" ht="23" customHeight="1" spans="1:10">
      <c r="A122" s="2">
        <v>121</v>
      </c>
      <c r="B122" s="3" t="s">
        <v>243</v>
      </c>
      <c r="C122" s="2" t="s">
        <v>244</v>
      </c>
      <c r="D122" s="2" t="s">
        <v>40</v>
      </c>
      <c r="E122" s="2" t="s">
        <v>20</v>
      </c>
      <c r="F122" s="2" t="s">
        <v>13</v>
      </c>
      <c r="G122" s="2" t="s">
        <v>21</v>
      </c>
      <c r="H122" s="4" t="str">
        <f>HYPERLINK("https://www.yoojia.com/article/9836791966413588445.html","https://www.yoojia.com/article/9836791966413588445.html")</f>
        <v>https://www.yoojia.com/article/9836791966413588445.html</v>
      </c>
      <c r="I122" s="3" t="s">
        <v>245</v>
      </c>
      <c r="J122" t="s">
        <v>16</v>
      </c>
    </row>
    <row r="123" ht="23" customHeight="1" spans="1:10">
      <c r="A123" s="2">
        <v>122</v>
      </c>
      <c r="B123" s="3" t="s">
        <v>243</v>
      </c>
      <c r="C123" s="2" t="s">
        <v>244</v>
      </c>
      <c r="D123" s="2" t="s">
        <v>41</v>
      </c>
      <c r="E123" s="2" t="s">
        <v>20</v>
      </c>
      <c r="F123" s="2" t="s">
        <v>13</v>
      </c>
      <c r="G123" s="2" t="s">
        <v>21</v>
      </c>
      <c r="H123" s="4" t="str">
        <f>HYPERLINK("https://mbd.baidu.com/newspage/data/landingshare?nid=news_9836791966413588445","https://mbd.baidu.com/newspage/data/landingshare?nid=news_9836791966413588445")</f>
        <v>https://mbd.baidu.com/newspage/data/landingshare?nid=news_9836791966413588445</v>
      </c>
      <c r="I123" s="3" t="s">
        <v>245</v>
      </c>
      <c r="J123" t="s">
        <v>16</v>
      </c>
    </row>
    <row r="124" ht="23" customHeight="1" spans="1:10">
      <c r="A124" s="2">
        <v>123</v>
      </c>
      <c r="B124" s="3" t="s">
        <v>246</v>
      </c>
      <c r="C124" s="2" t="s">
        <v>247</v>
      </c>
      <c r="D124" s="2" t="s">
        <v>46</v>
      </c>
      <c r="E124" s="2" t="s">
        <v>248</v>
      </c>
      <c r="F124" s="2" t="s">
        <v>13</v>
      </c>
      <c r="G124" s="2" t="s">
        <v>21</v>
      </c>
      <c r="H124" s="4" t="str">
        <f>HYPERLINK("https://www.sohu.com/a/959120569_539687","https://www.sohu.com/a/959120569_539687")</f>
        <v>https://www.sohu.com/a/959120569_539687</v>
      </c>
      <c r="I124" s="3" t="s">
        <v>249</v>
      </c>
      <c r="J124" t="s">
        <v>16</v>
      </c>
    </row>
    <row r="125" ht="23" customHeight="1" spans="1:10">
      <c r="A125" s="2">
        <v>124</v>
      </c>
      <c r="B125" s="3" t="s">
        <v>246</v>
      </c>
      <c r="C125" s="2" t="s">
        <v>247</v>
      </c>
      <c r="D125" s="2" t="s">
        <v>46</v>
      </c>
      <c r="E125" s="2" t="s">
        <v>248</v>
      </c>
      <c r="F125" s="2" t="s">
        <v>37</v>
      </c>
      <c r="G125" s="2" t="s">
        <v>21</v>
      </c>
      <c r="H125" s="4" t="str">
        <f>HYPERLINK("https://3g.k.sohu.com/t/n951899559?serialId=75c9ba3f7bcf692ae528765cd2cd4d53&amp;showType=951899559","https://3g.k.sohu.com/t/n951899559?serialId=75c9ba3f7bcf692ae528765cd2cd4d53&amp;showType=951899559")</f>
        <v>https://3g.k.sohu.com/t/n951899559?serialId=75c9ba3f7bcf692ae528765cd2cd4d53&amp;showType=951899559</v>
      </c>
      <c r="I125" s="3" t="s">
        <v>249</v>
      </c>
      <c r="J125" t="s">
        <v>16</v>
      </c>
    </row>
    <row r="126" ht="23" customHeight="1" spans="1:10">
      <c r="A126" s="2">
        <v>125</v>
      </c>
      <c r="B126" s="3" t="s">
        <v>246</v>
      </c>
      <c r="C126" s="2" t="s">
        <v>250</v>
      </c>
      <c r="D126" s="2" t="s">
        <v>248</v>
      </c>
      <c r="E126" s="2" t="s">
        <v>248</v>
      </c>
      <c r="F126" s="2" t="s">
        <v>13</v>
      </c>
      <c r="G126" s="2" t="s">
        <v>21</v>
      </c>
      <c r="H126" s="4" t="str">
        <f>HYPERLINK("https://jsnews.jschina.com.cn/jsyw/202511/t20251127_s69281421e4b0050b31b5ac87.shtml","https://jsnews.jschina.com.cn/jsyw/202511/t20251127_s69281421e4b0050b31b5ac87.shtml")</f>
        <v>https://jsnews.jschina.com.cn/jsyw/202511/t20251127_s69281421e4b0050b31b5ac87.shtml</v>
      </c>
      <c r="I126" s="3" t="s">
        <v>249</v>
      </c>
      <c r="J126" t="s">
        <v>16</v>
      </c>
    </row>
    <row r="127" ht="23" customHeight="1" spans="1:10">
      <c r="A127" s="2">
        <v>126</v>
      </c>
      <c r="B127" s="3" t="s">
        <v>251</v>
      </c>
      <c r="C127" s="2" t="s">
        <v>252</v>
      </c>
      <c r="D127" s="2" t="s">
        <v>46</v>
      </c>
      <c r="E127" s="2" t="s">
        <v>253</v>
      </c>
      <c r="F127" s="2" t="s">
        <v>37</v>
      </c>
      <c r="G127" s="2" t="s">
        <v>26</v>
      </c>
      <c r="H127" s="4" t="str">
        <f>HYPERLINK("https://3g.k.sohu.com/t/n951696767?serialId=0323eaaeab912dd4b95cfe8379779bf4&amp;showType=951696767","https://3g.k.sohu.com/t/n951696767?serialId=0323eaaeab912dd4b95cfe8379779bf4&amp;showType=951696767")</f>
        <v>https://3g.k.sohu.com/t/n951696767?serialId=0323eaaeab912dd4b95cfe8379779bf4&amp;showType=951696767</v>
      </c>
      <c r="I127" s="3" t="s">
        <v>254</v>
      </c>
      <c r="J127" t="s">
        <v>16</v>
      </c>
    </row>
    <row r="128" ht="23" customHeight="1" spans="1:10">
      <c r="A128" s="2">
        <v>127</v>
      </c>
      <c r="B128" s="3" t="s">
        <v>246</v>
      </c>
      <c r="C128" s="2" t="s">
        <v>255</v>
      </c>
      <c r="D128" s="2" t="s">
        <v>107</v>
      </c>
      <c r="E128" s="2" t="s">
        <v>256</v>
      </c>
      <c r="F128" s="2" t="s">
        <v>13</v>
      </c>
      <c r="G128" s="2" t="s">
        <v>21</v>
      </c>
      <c r="H128" s="4" t="str">
        <f>HYPERLINK("https://k.sina.cn/article_5675440730_152485a5a02001xo0i.html","https://k.sina.cn/article_5675440730_152485a5a02001xo0i.html")</f>
        <v>https://k.sina.cn/article_5675440730_152485a5a02001xo0i.html</v>
      </c>
      <c r="I128" s="3" t="s">
        <v>249</v>
      </c>
      <c r="J128" t="s">
        <v>16</v>
      </c>
    </row>
    <row r="129" ht="23" customHeight="1" spans="1:10">
      <c r="A129" s="2">
        <v>128</v>
      </c>
      <c r="B129" s="3" t="s">
        <v>209</v>
      </c>
      <c r="C129" s="2" t="s">
        <v>257</v>
      </c>
      <c r="D129" s="2" t="s">
        <v>68</v>
      </c>
      <c r="E129" s="2" t="s">
        <v>68</v>
      </c>
      <c r="F129" s="2" t="s">
        <v>13</v>
      </c>
      <c r="G129" s="2" t="s">
        <v>26</v>
      </c>
      <c r="H129" s="4" t="str">
        <f>HYPERLINK("https://tech.china.com/articles/20251126/202511261771570.html","https://tech.china.com/articles/20251126/202511261771570.html")</f>
        <v>https://tech.china.com/articles/20251126/202511261771570.html</v>
      </c>
      <c r="I129" s="3" t="s">
        <v>212</v>
      </c>
      <c r="J129" t="s">
        <v>16</v>
      </c>
    </row>
    <row r="130" ht="23" customHeight="1" spans="1:10">
      <c r="A130" s="2">
        <v>129</v>
      </c>
      <c r="B130" s="3" t="s">
        <v>209</v>
      </c>
      <c r="C130" s="2" t="s">
        <v>258</v>
      </c>
      <c r="D130" s="2" t="s">
        <v>259</v>
      </c>
      <c r="E130" s="2" t="s">
        <v>259</v>
      </c>
      <c r="F130" s="2" t="s">
        <v>13</v>
      </c>
      <c r="G130" s="2" t="s">
        <v>14</v>
      </c>
      <c r="H130" s="4" t="str">
        <f>HYPERLINK("http://www.ce.cn/cysc/tech/gd2012/202511/t20251126_2604102.shtml","http://www.ce.cn/cysc/tech/gd2012/202511/t20251126_2604102.shtml")</f>
        <v>http://www.ce.cn/cysc/tech/gd2012/202511/t20251126_2604102.shtml</v>
      </c>
      <c r="I130" s="3" t="s">
        <v>212</v>
      </c>
      <c r="J130" t="s">
        <v>16</v>
      </c>
    </row>
    <row r="131" ht="23" customHeight="1" spans="1:10">
      <c r="A131" s="2">
        <v>130</v>
      </c>
      <c r="B131" s="3" t="s">
        <v>260</v>
      </c>
      <c r="C131" s="2" t="s">
        <v>261</v>
      </c>
      <c r="D131" s="2" t="s">
        <v>262</v>
      </c>
      <c r="E131" s="2" t="s">
        <v>262</v>
      </c>
      <c r="F131" s="2" t="s">
        <v>13</v>
      </c>
      <c r="G131" s="2" t="s">
        <v>21</v>
      </c>
      <c r="H131" s="4" t="str">
        <f>HYPERLINK("https://www.shanghai.gov.cn/nw15343/20251126/47aef5cb7558473e8d36b2db196888b1.html","https://www.shanghai.gov.cn/nw15343/20251126/47aef5cb7558473e8d36b2db196888b1.html")</f>
        <v>https://www.shanghai.gov.cn/nw15343/20251126/47aef5cb7558473e8d36b2db196888b1.html</v>
      </c>
      <c r="I131" s="3" t="s">
        <v>263</v>
      </c>
      <c r="J131" t="s">
        <v>16</v>
      </c>
    </row>
    <row r="132" ht="23" customHeight="1" spans="1:10">
      <c r="A132" s="2">
        <v>131</v>
      </c>
      <c r="B132" s="3" t="s">
        <v>264</v>
      </c>
      <c r="C132" s="2" t="s">
        <v>265</v>
      </c>
      <c r="D132" s="2" t="s">
        <v>71</v>
      </c>
      <c r="E132" s="2" t="s">
        <v>72</v>
      </c>
      <c r="F132" s="2" t="s">
        <v>13</v>
      </c>
      <c r="G132" s="2" t="s">
        <v>21</v>
      </c>
      <c r="H132" s="4" t="str">
        <f>HYPERLINK("http://qiye.eastday.com/n35/u1ai1404430.html","http://qiye.eastday.com/n35/u1ai1404430.html")</f>
        <v>http://qiye.eastday.com/n35/u1ai1404430.html</v>
      </c>
      <c r="I132" s="3" t="s">
        <v>266</v>
      </c>
      <c r="J132" t="s">
        <v>16</v>
      </c>
    </row>
    <row r="133" ht="23" customHeight="1" spans="1:10">
      <c r="A133" s="2">
        <v>132</v>
      </c>
      <c r="B133" s="3" t="s">
        <v>264</v>
      </c>
      <c r="C133" s="2" t="s">
        <v>267</v>
      </c>
      <c r="D133" s="2" t="s">
        <v>63</v>
      </c>
      <c r="E133" s="2" t="s">
        <v>64</v>
      </c>
      <c r="F133" s="2" t="s">
        <v>13</v>
      </c>
      <c r="G133" s="2" t="s">
        <v>14</v>
      </c>
      <c r="H133" s="4" t="str">
        <f>HYPERLINK("https://caijing.chinadaily.com.cn/a/202511/26/WS692699d8a310942cc49936d0.html","https://caijing.chinadaily.com.cn/a/202511/26/WS692699d8a310942cc49936d0.html")</f>
        <v>https://caijing.chinadaily.com.cn/a/202511/26/WS692699d8a310942cc49936d0.html</v>
      </c>
      <c r="I133" s="3" t="s">
        <v>266</v>
      </c>
      <c r="J133" t="s">
        <v>16</v>
      </c>
    </row>
    <row r="134" ht="23" customHeight="1" spans="1:10">
      <c r="A134" s="2">
        <v>133</v>
      </c>
      <c r="B134" s="3" t="s">
        <v>243</v>
      </c>
      <c r="C134" s="2" t="s">
        <v>268</v>
      </c>
      <c r="D134" s="2" t="s">
        <v>40</v>
      </c>
      <c r="E134" s="2" t="s">
        <v>20</v>
      </c>
      <c r="F134" s="2" t="s">
        <v>13</v>
      </c>
      <c r="G134" s="2" t="s">
        <v>21</v>
      </c>
      <c r="H134" s="4" t="str">
        <f>HYPERLINK("https://www.yoojia.com/article/10008087876446312912.html","https://www.yoojia.com/article/10008087876446312912.html")</f>
        <v>https://www.yoojia.com/article/10008087876446312912.html</v>
      </c>
      <c r="I134" s="3" t="s">
        <v>269</v>
      </c>
      <c r="J134" t="s">
        <v>16</v>
      </c>
    </row>
    <row r="135" ht="23" customHeight="1" spans="1:10">
      <c r="A135" s="2">
        <v>134</v>
      </c>
      <c r="B135" s="3" t="s">
        <v>243</v>
      </c>
      <c r="C135" s="2" t="s">
        <v>268</v>
      </c>
      <c r="D135" s="2" t="s">
        <v>41</v>
      </c>
      <c r="E135" s="2" t="s">
        <v>20</v>
      </c>
      <c r="F135" s="2" t="s">
        <v>13</v>
      </c>
      <c r="G135" s="2" t="s">
        <v>21</v>
      </c>
      <c r="H135" s="4" t="str">
        <f>HYPERLINK("https://mbd.baidu.com/newspage/data/landingshare?nid=news_10008087876446312912","https://mbd.baidu.com/newspage/data/landingshare?nid=news_10008087876446312912")</f>
        <v>https://mbd.baidu.com/newspage/data/landingshare?nid=news_10008087876446312912</v>
      </c>
      <c r="I135" s="3" t="s">
        <v>269</v>
      </c>
      <c r="J135" t="s">
        <v>16</v>
      </c>
    </row>
    <row r="136" ht="23" customHeight="1" spans="1:10">
      <c r="A136" s="2">
        <v>135</v>
      </c>
      <c r="B136" s="3" t="s">
        <v>243</v>
      </c>
      <c r="C136" s="2" t="s">
        <v>270</v>
      </c>
      <c r="D136" s="2" t="s">
        <v>41</v>
      </c>
      <c r="E136" s="2" t="s">
        <v>20</v>
      </c>
      <c r="F136" s="2" t="s">
        <v>13</v>
      </c>
      <c r="G136" s="2" t="s">
        <v>21</v>
      </c>
      <c r="H136" s="4" t="str">
        <f>HYPERLINK("https://mbd.baidu.com/newspage/data/landingshare?nid=news_9020163836754279282","https://mbd.baidu.com/newspage/data/landingshare?nid=news_9020163836754279282")</f>
        <v>https://mbd.baidu.com/newspage/data/landingshare?nid=news_9020163836754279282</v>
      </c>
      <c r="I136" s="3" t="s">
        <v>269</v>
      </c>
      <c r="J136" t="s">
        <v>16</v>
      </c>
    </row>
    <row r="137" ht="23" customHeight="1" spans="1:10">
      <c r="A137" s="2">
        <v>136</v>
      </c>
      <c r="B137" s="3" t="s">
        <v>243</v>
      </c>
      <c r="C137" s="2" t="s">
        <v>270</v>
      </c>
      <c r="D137" s="2" t="s">
        <v>40</v>
      </c>
      <c r="E137" s="2" t="s">
        <v>20</v>
      </c>
      <c r="F137" s="2" t="s">
        <v>13</v>
      </c>
      <c r="G137" s="2" t="s">
        <v>21</v>
      </c>
      <c r="H137" s="4" t="str">
        <f>HYPERLINK("https://www.yoojia.com/article/9020163836754279282.html","https://www.yoojia.com/article/9020163836754279282.html")</f>
        <v>https://www.yoojia.com/article/9020163836754279282.html</v>
      </c>
      <c r="I137" s="3" t="s">
        <v>269</v>
      </c>
      <c r="J137" t="s">
        <v>16</v>
      </c>
    </row>
    <row r="138" ht="23" customHeight="1" spans="1:10">
      <c r="A138" s="2">
        <v>137</v>
      </c>
      <c r="B138" s="3" t="s">
        <v>271</v>
      </c>
      <c r="C138" s="2" t="s">
        <v>272</v>
      </c>
      <c r="D138" s="2" t="s">
        <v>273</v>
      </c>
      <c r="E138" s="2" t="s">
        <v>274</v>
      </c>
      <c r="F138" s="2" t="s">
        <v>37</v>
      </c>
      <c r="G138" s="2" t="s">
        <v>14</v>
      </c>
      <c r="H138" s="4" t="str">
        <f>HYPERLINK("http://app.people.cn/h5/detail/normal/6591396830807040","http://app.people.cn/h5/detail/normal/6591396830807040")</f>
        <v>http://app.people.cn/h5/detail/normal/6591396830807040</v>
      </c>
      <c r="I138" s="3" t="s">
        <v>275</v>
      </c>
      <c r="J138" t="s">
        <v>16</v>
      </c>
    </row>
    <row r="139" ht="23" customHeight="1" spans="1:10">
      <c r="A139" s="2">
        <v>138</v>
      </c>
      <c r="B139" s="3" t="s">
        <v>276</v>
      </c>
      <c r="C139" s="2" t="s">
        <v>277</v>
      </c>
      <c r="D139" s="2" t="s">
        <v>11</v>
      </c>
      <c r="E139" s="2" t="s">
        <v>126</v>
      </c>
      <c r="F139" s="2" t="s">
        <v>13</v>
      </c>
      <c r="G139" s="2" t="s">
        <v>21</v>
      </c>
      <c r="H139" s="4" t="str">
        <f>HYPERLINK("https://www.toutiao.com/article/7576541866171122214/","https://www.toutiao.com/article/7576541866171122214/")</f>
        <v>https://www.toutiao.com/article/7576541866171122214/</v>
      </c>
      <c r="I139" s="3" t="s">
        <v>278</v>
      </c>
      <c r="J139" t="s">
        <v>16</v>
      </c>
    </row>
    <row r="140" ht="23" customHeight="1" spans="1:10">
      <c r="A140" s="2">
        <v>139</v>
      </c>
      <c r="B140" s="3" t="s">
        <v>276</v>
      </c>
      <c r="C140" s="2" t="s">
        <v>279</v>
      </c>
      <c r="D140" s="2" t="s">
        <v>40</v>
      </c>
      <c r="E140" s="2" t="s">
        <v>126</v>
      </c>
      <c r="F140" s="2" t="s">
        <v>13</v>
      </c>
      <c r="G140" s="2" t="s">
        <v>21</v>
      </c>
      <c r="H140" s="4" t="str">
        <f>HYPERLINK("https://www.yoojia.com/article/9137971757515198971.html","https://www.yoojia.com/article/9137971757515198971.html")</f>
        <v>https://www.yoojia.com/article/9137971757515198971.html</v>
      </c>
      <c r="I140" s="3" t="s">
        <v>278</v>
      </c>
      <c r="J140" t="s">
        <v>16</v>
      </c>
    </row>
    <row r="141" ht="23" customHeight="1" spans="1:10">
      <c r="A141" s="2">
        <v>140</v>
      </c>
      <c r="B141" s="3" t="s">
        <v>276</v>
      </c>
      <c r="C141" s="2" t="s">
        <v>279</v>
      </c>
      <c r="D141" s="2" t="s">
        <v>41</v>
      </c>
      <c r="E141" s="2" t="s">
        <v>126</v>
      </c>
      <c r="F141" s="2" t="s">
        <v>13</v>
      </c>
      <c r="G141" s="2" t="s">
        <v>21</v>
      </c>
      <c r="H141" s="4" t="str">
        <f>HYPERLINK("https://mbd.baidu.com/newspage/data/landingshare?nid=news_9137971757515198971","https://mbd.baidu.com/newspage/data/landingshare?nid=news_9137971757515198971")</f>
        <v>https://mbd.baidu.com/newspage/data/landingshare?nid=news_9137971757515198971</v>
      </c>
      <c r="I141" s="3" t="s">
        <v>278</v>
      </c>
      <c r="J141" t="s">
        <v>16</v>
      </c>
    </row>
    <row r="142" ht="23" customHeight="1" spans="1:10">
      <c r="A142" s="2">
        <v>141</v>
      </c>
      <c r="B142" s="3" t="s">
        <v>271</v>
      </c>
      <c r="C142" s="2" t="s">
        <v>280</v>
      </c>
      <c r="D142" s="2" t="s">
        <v>11</v>
      </c>
      <c r="E142" s="2" t="s">
        <v>87</v>
      </c>
      <c r="F142" s="2" t="s">
        <v>13</v>
      </c>
      <c r="G142" s="2" t="s">
        <v>26</v>
      </c>
      <c r="H142" s="4" t="str">
        <f>HYPERLINK("https://www.toutiao.com/article/7576509058165834275/","https://www.toutiao.com/article/7576509058165834275/")</f>
        <v>https://www.toutiao.com/article/7576509058165834275/</v>
      </c>
      <c r="I142" s="3" t="s">
        <v>281</v>
      </c>
      <c r="J142" t="s">
        <v>16</v>
      </c>
    </row>
    <row r="143" ht="23" customHeight="1" spans="1:10">
      <c r="A143" s="2">
        <v>142</v>
      </c>
      <c r="B143" s="3" t="s">
        <v>271</v>
      </c>
      <c r="C143" s="2" t="s">
        <v>282</v>
      </c>
      <c r="D143" s="2" t="s">
        <v>19</v>
      </c>
      <c r="E143" s="2" t="s">
        <v>108</v>
      </c>
      <c r="F143" s="2" t="s">
        <v>13</v>
      </c>
      <c r="G143" s="2" t="s">
        <v>14</v>
      </c>
      <c r="H143" s="4" t="str">
        <f>HYPERLINK("https://c.m.163.com/news/a/KF7739L00530QRMB.html","https://c.m.163.com/news/a/KF7739L00530QRMB.html")</f>
        <v>https://c.m.163.com/news/a/KF7739L00530QRMB.html</v>
      </c>
      <c r="I143" s="3" t="s">
        <v>283</v>
      </c>
      <c r="J143" t="s">
        <v>16</v>
      </c>
    </row>
    <row r="144" ht="23" customHeight="1" spans="1:10">
      <c r="A144" s="2">
        <v>143</v>
      </c>
      <c r="B144" s="3" t="s">
        <v>271</v>
      </c>
      <c r="C144" s="2" t="s">
        <v>284</v>
      </c>
      <c r="D144" s="2" t="s">
        <v>41</v>
      </c>
      <c r="E144" s="2" t="s">
        <v>87</v>
      </c>
      <c r="F144" s="2" t="s">
        <v>13</v>
      </c>
      <c r="G144" s="2" t="s">
        <v>26</v>
      </c>
      <c r="H144" s="4" t="str">
        <f>HYPERLINK("https://mbd.baidu.com/newspage/data/landingshare?nid=news_9793261656756777538","https://mbd.baidu.com/newspage/data/landingshare?nid=news_9793261656756777538")</f>
        <v>https://mbd.baidu.com/newspage/data/landingshare?nid=news_9793261656756777538</v>
      </c>
      <c r="I144" s="3" t="s">
        <v>281</v>
      </c>
      <c r="J144" t="s">
        <v>16</v>
      </c>
    </row>
    <row r="145" ht="23" customHeight="1" spans="1:10">
      <c r="A145" s="2">
        <v>144</v>
      </c>
      <c r="B145" s="3" t="s">
        <v>271</v>
      </c>
      <c r="C145" s="2" t="s">
        <v>285</v>
      </c>
      <c r="D145" s="2" t="s">
        <v>286</v>
      </c>
      <c r="E145" s="2" t="s">
        <v>287</v>
      </c>
      <c r="F145" s="2" t="s">
        <v>13</v>
      </c>
      <c r="G145" s="2" t="s">
        <v>14</v>
      </c>
      <c r="H145" s="4" t="str">
        <f>HYPERLINK("https://www.360kuai.com/9fac4e9e5f0c0f3c5","https://www.360kuai.com/9fac4e9e5f0c0f3c5")</f>
        <v>https://www.360kuai.com/9fac4e9e5f0c0f3c5</v>
      </c>
      <c r="I145" s="3" t="s">
        <v>283</v>
      </c>
      <c r="J145" t="s">
        <v>16</v>
      </c>
    </row>
    <row r="146" ht="23" customHeight="1" spans="1:10">
      <c r="A146" s="2">
        <v>145</v>
      </c>
      <c r="B146" s="3" t="s">
        <v>271</v>
      </c>
      <c r="C146" s="2" t="s">
        <v>285</v>
      </c>
      <c r="D146" s="2" t="s">
        <v>107</v>
      </c>
      <c r="E146" s="2" t="s">
        <v>87</v>
      </c>
      <c r="F146" s="2" t="s">
        <v>13</v>
      </c>
      <c r="G146" s="2" t="s">
        <v>26</v>
      </c>
      <c r="H146" s="4" t="str">
        <f>HYPERLINK("https://k.sina.cn/article_6824573189_196c6b90502002gf8w.html","https://k.sina.cn/article_6824573189_196c6b90502002gf8w.html")</f>
        <v>https://k.sina.cn/article_6824573189_196c6b90502002gf8w.html</v>
      </c>
      <c r="I146" s="3" t="s">
        <v>283</v>
      </c>
      <c r="J146" t="s">
        <v>16</v>
      </c>
    </row>
    <row r="147" ht="23" customHeight="1" spans="1:10">
      <c r="A147" s="2">
        <v>146</v>
      </c>
      <c r="B147" s="3" t="s">
        <v>271</v>
      </c>
      <c r="C147" s="2" t="s">
        <v>288</v>
      </c>
      <c r="D147" s="2" t="s">
        <v>95</v>
      </c>
      <c r="E147" s="2" t="s">
        <v>289</v>
      </c>
      <c r="F147" s="2" t="s">
        <v>13</v>
      </c>
      <c r="G147" s="2" t="s">
        <v>14</v>
      </c>
      <c r="H147" s="4" t="str">
        <f>HYPERLINK("http://ah.people.com.cn/n2/2025/1125/c227131-41422079.html","http://ah.people.com.cn/n2/2025/1125/c227131-41422079.html")</f>
        <v>http://ah.people.com.cn/n2/2025/1125/c227131-41422079.html</v>
      </c>
      <c r="I147" s="3" t="s">
        <v>281</v>
      </c>
      <c r="J147" t="s">
        <v>16</v>
      </c>
    </row>
    <row r="148" ht="23" customHeight="1" spans="1:10">
      <c r="A148" s="2">
        <v>147</v>
      </c>
      <c r="B148" s="3" t="s">
        <v>271</v>
      </c>
      <c r="C148" s="2" t="s">
        <v>288</v>
      </c>
      <c r="D148" s="2" t="s">
        <v>95</v>
      </c>
      <c r="E148" s="2" t="s">
        <v>290</v>
      </c>
      <c r="F148" s="2" t="s">
        <v>13</v>
      </c>
      <c r="G148" s="2" t="s">
        <v>14</v>
      </c>
      <c r="H148" s="4" t="str">
        <f>HYPERLINK("http://ah.people.com.cn/BIG5/n2/2025/1125/c227131-41422079.html","http://ah.people.com.cn/BIG5/n2/2025/1125/c227131-41422079.html")</f>
        <v>http://ah.people.com.cn/BIG5/n2/2025/1125/c227131-41422079.html</v>
      </c>
      <c r="I148" s="3" t="s">
        <v>281</v>
      </c>
      <c r="J148" t="s">
        <v>16</v>
      </c>
    </row>
    <row r="149" ht="23" customHeight="1" spans="1:10">
      <c r="A149" s="2">
        <v>148</v>
      </c>
      <c r="B149" s="3" t="s">
        <v>291</v>
      </c>
      <c r="C149" s="2" t="s">
        <v>292</v>
      </c>
      <c r="D149" s="2" t="s">
        <v>34</v>
      </c>
      <c r="E149" s="2" t="s">
        <v>159</v>
      </c>
      <c r="F149" s="2" t="s">
        <v>13</v>
      </c>
      <c r="G149" s="2" t="s">
        <v>21</v>
      </c>
      <c r="H149" s="4" t="str">
        <f>HYPERLINK("https://kandianshare.html5.qq.com/v2/news/5840364435570837826","https://kandianshare.html5.qq.com/v2/news/5840364435570837826")</f>
        <v>https://kandianshare.html5.qq.com/v2/news/5840364435570837826</v>
      </c>
      <c r="I149" s="3" t="s">
        <v>293</v>
      </c>
      <c r="J149" t="s">
        <v>16</v>
      </c>
    </row>
    <row r="150" ht="23" customHeight="1" spans="1:10">
      <c r="A150" s="2">
        <v>149</v>
      </c>
      <c r="B150" s="3" t="s">
        <v>291</v>
      </c>
      <c r="C150" s="2" t="s">
        <v>292</v>
      </c>
      <c r="D150" s="2" t="s">
        <v>35</v>
      </c>
      <c r="E150" s="2" t="s">
        <v>159</v>
      </c>
      <c r="F150" s="2" t="s">
        <v>13</v>
      </c>
      <c r="G150" s="2" t="s">
        <v>21</v>
      </c>
      <c r="H150" s="4" t="str">
        <f>HYPERLINK("https://new.qq.com/rain/a/20251124A04Y4E00","https://new.qq.com/rain/a/20251124A04Y4E00")</f>
        <v>https://new.qq.com/rain/a/20251124A04Y4E00</v>
      </c>
      <c r="I150" s="3" t="s">
        <v>294</v>
      </c>
      <c r="J150" t="s">
        <v>16</v>
      </c>
    </row>
    <row r="151" ht="23" customHeight="1" spans="1:10">
      <c r="A151" s="2">
        <v>150</v>
      </c>
      <c r="B151" s="3" t="s">
        <v>291</v>
      </c>
      <c r="C151" s="2" t="s">
        <v>295</v>
      </c>
      <c r="D151" s="2" t="s">
        <v>41</v>
      </c>
      <c r="E151" s="2" t="s">
        <v>159</v>
      </c>
      <c r="F151" s="2" t="s">
        <v>13</v>
      </c>
      <c r="G151" s="2" t="s">
        <v>21</v>
      </c>
      <c r="H151" s="4" t="str">
        <f>HYPERLINK("https://mbd.baidu.com/newspage/data/landingshare?nid=news_9823246060431359296","https://mbd.baidu.com/newspage/data/landingshare?nid=news_9823246060431359296")</f>
        <v>https://mbd.baidu.com/newspage/data/landingshare?nid=news_9823246060431359296</v>
      </c>
      <c r="I151" s="3" t="s">
        <v>293</v>
      </c>
      <c r="J151" t="s">
        <v>16</v>
      </c>
    </row>
    <row r="152" ht="23" customHeight="1" spans="1:10">
      <c r="A152" s="2">
        <v>151</v>
      </c>
      <c r="B152" s="3" t="s">
        <v>291</v>
      </c>
      <c r="C152" s="2" t="s">
        <v>295</v>
      </c>
      <c r="D152" s="2" t="s">
        <v>40</v>
      </c>
      <c r="E152" s="2" t="s">
        <v>159</v>
      </c>
      <c r="F152" s="2" t="s">
        <v>13</v>
      </c>
      <c r="G152" s="2" t="s">
        <v>21</v>
      </c>
      <c r="H152" s="4" t="str">
        <f>HYPERLINK("https://www.yoojia.com/article/9823246060431359296.html","https://www.yoojia.com/article/9823246060431359296.html")</f>
        <v>https://www.yoojia.com/article/9823246060431359296.html</v>
      </c>
      <c r="I152" s="3" t="s">
        <v>293</v>
      </c>
      <c r="J152" t="s">
        <v>16</v>
      </c>
    </row>
    <row r="153" ht="23" customHeight="1" spans="1:10">
      <c r="A153" s="2">
        <v>152</v>
      </c>
      <c r="B153" s="3" t="s">
        <v>291</v>
      </c>
      <c r="C153" s="2" t="s">
        <v>296</v>
      </c>
      <c r="D153" s="2" t="s">
        <v>159</v>
      </c>
      <c r="E153" s="2" t="s">
        <v>297</v>
      </c>
      <c r="F153" s="2" t="s">
        <v>13</v>
      </c>
      <c r="G153" s="2" t="s">
        <v>21</v>
      </c>
      <c r="H153" s="4" t="str">
        <f>HYPERLINK("https://static.zhoudaosh.com/files/cnews/2025/20251124/3DA14E5B4531C4C2CD6A62503B36CA47A68DAD3CE386ED0A677E3AC290DFD67C/7.html","https://static.zhoudaosh.com/files/cnews/2025/20251124/3DA14E5B4531C4C2CD6A62503B36CA47A68DAD3CE386ED0A677E3AC290DFD67C/7.html")</f>
        <v>https://static.zhoudaosh.com/files/cnews/2025/20251124/3DA14E5B4531C4C2CD6A62503B36CA47A68DAD3CE386ED0A677E3AC290DFD67C/7.html</v>
      </c>
      <c r="I153" s="3" t="s">
        <v>293</v>
      </c>
      <c r="J153" t="s">
        <v>16</v>
      </c>
    </row>
    <row r="154" ht="23" customHeight="1" spans="1:10">
      <c r="A154" s="2">
        <v>153</v>
      </c>
      <c r="B154" s="3" t="s">
        <v>298</v>
      </c>
      <c r="C154" s="2" t="s">
        <v>299</v>
      </c>
      <c r="D154" s="2" t="s">
        <v>34</v>
      </c>
      <c r="E154" s="2" t="s">
        <v>159</v>
      </c>
      <c r="F154" s="2" t="s">
        <v>13</v>
      </c>
      <c r="G154" s="2" t="s">
        <v>21</v>
      </c>
      <c r="H154" s="4" t="str">
        <f>HYPERLINK("https://kandianshare.html5.qq.com/v2/news/7398609868848834882","https://kandianshare.html5.qq.com/v2/news/7398609868848834882")</f>
        <v>https://kandianshare.html5.qq.com/v2/news/7398609868848834882</v>
      </c>
      <c r="I154" s="3" t="s">
        <v>300</v>
      </c>
      <c r="J154" t="s">
        <v>16</v>
      </c>
    </row>
    <row r="155" ht="23" customHeight="1" spans="1:10">
      <c r="A155" s="2">
        <v>154</v>
      </c>
      <c r="B155" s="3" t="s">
        <v>298</v>
      </c>
      <c r="C155" s="2" t="s">
        <v>299</v>
      </c>
      <c r="D155" s="2" t="s">
        <v>35</v>
      </c>
      <c r="E155" s="2" t="s">
        <v>159</v>
      </c>
      <c r="F155" s="2" t="s">
        <v>13</v>
      </c>
      <c r="G155" s="2" t="s">
        <v>21</v>
      </c>
      <c r="H155" s="4" t="str">
        <f>HYPERLINK("https://new.qq.com/rain/a/20251124A030R300","https://new.qq.com/rain/a/20251124A030R300")</f>
        <v>https://new.qq.com/rain/a/20251124A030R300</v>
      </c>
      <c r="I155" s="3" t="s">
        <v>300</v>
      </c>
      <c r="J155" t="s">
        <v>16</v>
      </c>
    </row>
    <row r="156" ht="23" customHeight="1" spans="1:10">
      <c r="A156" s="2">
        <v>155</v>
      </c>
      <c r="B156" s="3" t="s">
        <v>298</v>
      </c>
      <c r="C156" s="2" t="s">
        <v>301</v>
      </c>
      <c r="D156" s="2" t="s">
        <v>159</v>
      </c>
      <c r="E156" s="2" t="s">
        <v>164</v>
      </c>
      <c r="F156" s="2" t="s">
        <v>13</v>
      </c>
      <c r="G156" s="2" t="s">
        <v>21</v>
      </c>
      <c r="H156" s="4" t="str">
        <f>HYPERLINK("https://static.zhoudaosh.com/files/cnews/2025/20251124/51184EE01C3440550AD8175DCCA6DF0413ED89D8C41323837A5AB441EEE663E3/5.html","https://static.zhoudaosh.com/files/cnews/2025/20251124/51184EE01C3440550AD8175DCCA6DF0413ED89D8C41323837A5AB441EEE663E3/5.html")</f>
        <v>https://static.zhoudaosh.com/files/cnews/2025/20251124/51184EE01C3440550AD8175DCCA6DF0413ED89D8C41323837A5AB441EEE663E3/5.html</v>
      </c>
      <c r="I156" s="3" t="s">
        <v>300</v>
      </c>
      <c r="J156" t="s">
        <v>16</v>
      </c>
    </row>
    <row r="157" ht="23" customHeight="1" spans="1:10">
      <c r="A157" s="2">
        <v>156</v>
      </c>
      <c r="B157" s="3" t="s">
        <v>302</v>
      </c>
      <c r="C157" s="2" t="s">
        <v>303</v>
      </c>
      <c r="D157" s="2" t="s">
        <v>40</v>
      </c>
      <c r="E157" s="2" t="s">
        <v>159</v>
      </c>
      <c r="F157" s="2" t="s">
        <v>13</v>
      </c>
      <c r="G157" s="2" t="s">
        <v>21</v>
      </c>
      <c r="H157" s="4" t="str">
        <f>HYPERLINK("https://www.yoojia.com/article/10233684070334218237.html","https://www.yoojia.com/article/10233684070334218237.html")</f>
        <v>https://www.yoojia.com/article/10233684070334218237.html</v>
      </c>
      <c r="I157" s="3" t="s">
        <v>300</v>
      </c>
      <c r="J157" t="s">
        <v>16</v>
      </c>
    </row>
    <row r="158" ht="23" customHeight="1" spans="1:10">
      <c r="A158" s="2">
        <v>157</v>
      </c>
      <c r="B158" s="3" t="s">
        <v>302</v>
      </c>
      <c r="C158" s="2" t="s">
        <v>303</v>
      </c>
      <c r="D158" s="2" t="s">
        <v>41</v>
      </c>
      <c r="E158" s="2" t="s">
        <v>159</v>
      </c>
      <c r="F158" s="2" t="s">
        <v>13</v>
      </c>
      <c r="G158" s="2" t="s">
        <v>21</v>
      </c>
      <c r="H158" s="4" t="str">
        <f>HYPERLINK("https://mbd.baidu.com/newspage/data/landingshare?nid=news_10233684070334218237","https://mbd.baidu.com/newspage/data/landingshare?nid=news_10233684070334218237")</f>
        <v>https://mbd.baidu.com/newspage/data/landingshare?nid=news_10233684070334218237</v>
      </c>
      <c r="I158" s="3" t="s">
        <v>300</v>
      </c>
      <c r="J158" t="s">
        <v>16</v>
      </c>
    </row>
    <row r="159" ht="23" customHeight="1" spans="1:10">
      <c r="A159" s="2">
        <v>158</v>
      </c>
      <c r="B159" s="3" t="s">
        <v>304</v>
      </c>
      <c r="C159" s="2" t="s">
        <v>305</v>
      </c>
      <c r="D159" s="2" t="s">
        <v>215</v>
      </c>
      <c r="E159" s="2" t="s">
        <v>306</v>
      </c>
      <c r="F159" s="2" t="s">
        <v>13</v>
      </c>
      <c r="G159" s="2" t="s">
        <v>21</v>
      </c>
      <c r="H159" s="4" t="str">
        <f>HYPERLINK("http://edu.eastday.com/node2/jypd/n5/20251124/u1ai66664.html","http://edu.eastday.com/node2/jypd/n5/20251124/u1ai66664.html")</f>
        <v>http://edu.eastday.com/node2/jypd/n5/20251124/u1ai66664.html</v>
      </c>
      <c r="I159" s="3" t="s">
        <v>307</v>
      </c>
      <c r="J159" t="s">
        <v>16</v>
      </c>
    </row>
    <row r="160" ht="23" customHeight="1" spans="1:10">
      <c r="A160" s="2">
        <v>159</v>
      </c>
      <c r="B160" s="3" t="s">
        <v>308</v>
      </c>
      <c r="C160" s="2" t="s">
        <v>309</v>
      </c>
      <c r="D160" s="2" t="s">
        <v>11</v>
      </c>
      <c r="E160" s="2" t="s">
        <v>126</v>
      </c>
      <c r="F160" s="2" t="s">
        <v>13</v>
      </c>
      <c r="G160" s="2" t="s">
        <v>21</v>
      </c>
      <c r="H160" s="4" t="str">
        <f>HYPERLINK("https://www.toutiao.com/article/7575470782780998187/","https://www.toutiao.com/article/7575470782780998187/")</f>
        <v>https://www.toutiao.com/article/7575470782780998187/</v>
      </c>
      <c r="I160" s="3" t="s">
        <v>310</v>
      </c>
      <c r="J160" t="s">
        <v>16</v>
      </c>
    </row>
    <row r="161" ht="23" customHeight="1" spans="1:10">
      <c r="A161" s="2">
        <v>160</v>
      </c>
      <c r="B161" s="3" t="s">
        <v>308</v>
      </c>
      <c r="C161" s="2" t="s">
        <v>311</v>
      </c>
      <c r="D161" s="2" t="s">
        <v>40</v>
      </c>
      <c r="E161" s="2" t="s">
        <v>126</v>
      </c>
      <c r="F161" s="2" t="s">
        <v>13</v>
      </c>
      <c r="G161" s="2" t="s">
        <v>21</v>
      </c>
      <c r="H161" s="4" t="str">
        <f>HYPERLINK("https://www.yoojia.com/article/10230063391388485949.html","https://www.yoojia.com/article/10230063391388485949.html")</f>
        <v>https://www.yoojia.com/article/10230063391388485949.html</v>
      </c>
      <c r="I161" s="3" t="s">
        <v>310</v>
      </c>
      <c r="J161" t="s">
        <v>16</v>
      </c>
    </row>
    <row r="162" ht="23" customHeight="1" spans="1:10">
      <c r="A162" s="2">
        <v>161</v>
      </c>
      <c r="B162" s="3" t="s">
        <v>308</v>
      </c>
      <c r="C162" s="2" t="s">
        <v>311</v>
      </c>
      <c r="D162" s="2" t="s">
        <v>41</v>
      </c>
      <c r="E162" s="2" t="s">
        <v>126</v>
      </c>
      <c r="F162" s="2" t="s">
        <v>13</v>
      </c>
      <c r="G162" s="2" t="s">
        <v>21</v>
      </c>
      <c r="H162" s="4" t="str">
        <f>HYPERLINK("https://mbd.baidu.com/newspage/data/landingshare?nid=news_10230063391388485949","https://mbd.baidu.com/newspage/data/landingshare?nid=news_10230063391388485949")</f>
        <v>https://mbd.baidu.com/newspage/data/landingshare?nid=news_10230063391388485949</v>
      </c>
      <c r="I162" s="3" t="s">
        <v>310</v>
      </c>
      <c r="J162" t="s">
        <v>16</v>
      </c>
    </row>
    <row r="163" ht="23" customHeight="1" spans="1:10">
      <c r="A163" s="2">
        <v>162</v>
      </c>
      <c r="B163" s="3" t="s">
        <v>312</v>
      </c>
      <c r="C163" s="2" t="s">
        <v>313</v>
      </c>
      <c r="D163" s="2" t="s">
        <v>71</v>
      </c>
      <c r="E163" s="2" t="s">
        <v>71</v>
      </c>
      <c r="F163" s="2" t="s">
        <v>37</v>
      </c>
      <c r="G163" s="2" t="s">
        <v>21</v>
      </c>
      <c r="H163" s="4" t="str">
        <f>HYPERLINK("https://j.021east.com/m/1763781273047037","https://j.021east.com/m/1763781273047037")</f>
        <v>https://j.021east.com/m/1763781273047037</v>
      </c>
      <c r="I163" s="3" t="s">
        <v>310</v>
      </c>
      <c r="J163" t="s">
        <v>16</v>
      </c>
    </row>
    <row r="164" ht="23" customHeight="1" spans="1:10">
      <c r="A164" s="2">
        <v>163</v>
      </c>
      <c r="B164" s="3" t="s">
        <v>312</v>
      </c>
      <c r="C164" s="2" t="s">
        <v>314</v>
      </c>
      <c r="D164" s="2" t="s">
        <v>19</v>
      </c>
      <c r="E164" s="2" t="s">
        <v>20</v>
      </c>
      <c r="F164" s="2" t="s">
        <v>13</v>
      </c>
      <c r="G164" s="2" t="s">
        <v>21</v>
      </c>
      <c r="H164" s="4" t="str">
        <f>HYPERLINK("https://c.m.163.com/news/a/KEVAIB7T055040N3.html","https://c.m.163.com/news/a/KEVAIB7T055040N3.html")</f>
        <v>https://c.m.163.com/news/a/KEVAIB7T055040N3.html</v>
      </c>
      <c r="I164" s="3" t="s">
        <v>310</v>
      </c>
      <c r="J164" t="s">
        <v>16</v>
      </c>
    </row>
    <row r="165" ht="23" customHeight="1" spans="1:10">
      <c r="A165" s="2">
        <v>164</v>
      </c>
      <c r="B165" s="3" t="s">
        <v>315</v>
      </c>
      <c r="C165" s="2" t="s">
        <v>316</v>
      </c>
      <c r="D165" s="2" t="s">
        <v>317</v>
      </c>
      <c r="E165" s="2" t="s">
        <v>317</v>
      </c>
      <c r="F165" s="2" t="s">
        <v>13</v>
      </c>
      <c r="G165" s="2" t="s">
        <v>201</v>
      </c>
      <c r="H165" s="4" t="str">
        <f>HYPERLINK("https://m.jrj.com.cn/madapter/finance/2025/11/22101154346757.shtml","https://m.jrj.com.cn/madapter/finance/2025/11/22101154346757.shtml")</f>
        <v>https://m.jrj.com.cn/madapter/finance/2025/11/22101154346757.shtml</v>
      </c>
      <c r="I165" s="3" t="s">
        <v>318</v>
      </c>
      <c r="J165" t="s">
        <v>16</v>
      </c>
    </row>
    <row r="166" ht="23" customHeight="1" spans="1:10">
      <c r="A166" s="2">
        <v>165</v>
      </c>
      <c r="B166" s="3" t="s">
        <v>312</v>
      </c>
      <c r="C166" s="2" t="s">
        <v>319</v>
      </c>
      <c r="D166" s="2" t="s">
        <v>41</v>
      </c>
      <c r="E166" s="2" t="s">
        <v>20</v>
      </c>
      <c r="F166" s="2" t="s">
        <v>13</v>
      </c>
      <c r="G166" s="2" t="s">
        <v>21</v>
      </c>
      <c r="H166" s="4" t="str">
        <f>HYPERLINK("https://mbd.baidu.com/newspage/data/landingshare?nid=news_8916187703654231797","https://mbd.baidu.com/newspage/data/landingshare?nid=news_8916187703654231797")</f>
        <v>https://mbd.baidu.com/newspage/data/landingshare?nid=news_8916187703654231797</v>
      </c>
      <c r="I166" s="3" t="s">
        <v>310</v>
      </c>
      <c r="J166" t="s">
        <v>16</v>
      </c>
    </row>
    <row r="167" ht="23" customHeight="1" spans="1:10">
      <c r="A167" s="2">
        <v>166</v>
      </c>
      <c r="B167" s="3" t="s">
        <v>312</v>
      </c>
      <c r="C167" s="2" t="s">
        <v>319</v>
      </c>
      <c r="D167" s="2" t="s">
        <v>40</v>
      </c>
      <c r="E167" s="2" t="s">
        <v>20</v>
      </c>
      <c r="F167" s="2" t="s">
        <v>13</v>
      </c>
      <c r="G167" s="2" t="s">
        <v>21</v>
      </c>
      <c r="H167" s="4" t="str">
        <f>HYPERLINK("https://www.yoojia.com/article/8916187703654231797.html","https://www.yoojia.com/article/8916187703654231797.html")</f>
        <v>https://www.yoojia.com/article/8916187703654231797.html</v>
      </c>
      <c r="I167" s="3" t="s">
        <v>310</v>
      </c>
      <c r="J167" t="s">
        <v>16</v>
      </c>
    </row>
    <row r="168" ht="23" customHeight="1" spans="1:10">
      <c r="A168" s="2">
        <v>167</v>
      </c>
      <c r="B168" s="3" t="s">
        <v>308</v>
      </c>
      <c r="C168" s="2" t="s">
        <v>320</v>
      </c>
      <c r="D168" s="2" t="s">
        <v>41</v>
      </c>
      <c r="E168" s="2" t="s">
        <v>321</v>
      </c>
      <c r="F168" s="2" t="s">
        <v>13</v>
      </c>
      <c r="G168" s="2" t="s">
        <v>21</v>
      </c>
      <c r="H168" s="4" t="str">
        <f>HYPERLINK("https://mbd.baidu.com/newspage/data/landingshare?nid=news_9390893649928512004","https://mbd.baidu.com/newspage/data/landingshare?nid=news_9390893649928512004")</f>
        <v>https://mbd.baidu.com/newspage/data/landingshare?nid=news_9390893649928512004</v>
      </c>
      <c r="I168" s="3" t="s">
        <v>310</v>
      </c>
      <c r="J168" t="s">
        <v>16</v>
      </c>
    </row>
    <row r="169" ht="23" customHeight="1" spans="1:10">
      <c r="A169" s="2">
        <v>168</v>
      </c>
      <c r="B169" s="3" t="s">
        <v>308</v>
      </c>
      <c r="C169" s="2" t="s">
        <v>320</v>
      </c>
      <c r="D169" s="2" t="s">
        <v>40</v>
      </c>
      <c r="E169" s="2" t="s">
        <v>321</v>
      </c>
      <c r="F169" s="2" t="s">
        <v>13</v>
      </c>
      <c r="G169" s="2" t="s">
        <v>21</v>
      </c>
      <c r="H169" s="4" t="str">
        <f>HYPERLINK("https://www.yoojia.com/article/9390893649928512004.html","https://www.yoojia.com/article/9390893649928512004.html")</f>
        <v>https://www.yoojia.com/article/9390893649928512004.html</v>
      </c>
      <c r="I169" s="3" t="s">
        <v>310</v>
      </c>
      <c r="J169" t="s">
        <v>16</v>
      </c>
    </row>
    <row r="170" ht="23" customHeight="1" spans="1:10">
      <c r="A170" s="2">
        <v>169</v>
      </c>
      <c r="B170" s="3" t="s">
        <v>308</v>
      </c>
      <c r="C170" s="2" t="s">
        <v>322</v>
      </c>
      <c r="D170" s="2" t="s">
        <v>40</v>
      </c>
      <c r="E170" s="2" t="s">
        <v>20</v>
      </c>
      <c r="F170" s="2" t="s">
        <v>13</v>
      </c>
      <c r="G170" s="2" t="s">
        <v>21</v>
      </c>
      <c r="H170" s="4" t="str">
        <f>HYPERLINK("https://www.yoojia.com/article/9658918249367893963.html","https://www.yoojia.com/article/9658918249367893963.html")</f>
        <v>https://www.yoojia.com/article/9658918249367893963.html</v>
      </c>
      <c r="I170" s="3" t="s">
        <v>310</v>
      </c>
      <c r="J170" t="s">
        <v>16</v>
      </c>
    </row>
    <row r="171" ht="23" customHeight="1" spans="1:10">
      <c r="A171" s="2">
        <v>170</v>
      </c>
      <c r="B171" s="3" t="s">
        <v>308</v>
      </c>
      <c r="C171" s="2" t="s">
        <v>322</v>
      </c>
      <c r="D171" s="2" t="s">
        <v>41</v>
      </c>
      <c r="E171" s="2" t="s">
        <v>20</v>
      </c>
      <c r="F171" s="2" t="s">
        <v>13</v>
      </c>
      <c r="G171" s="2" t="s">
        <v>21</v>
      </c>
      <c r="H171" s="4" t="str">
        <f>HYPERLINK("https://mbd.baidu.com/newspage/data/landingshare?nid=news_9658918249367893963","https://mbd.baidu.com/newspage/data/landingshare?nid=news_9658918249367893963")</f>
        <v>https://mbd.baidu.com/newspage/data/landingshare?nid=news_9658918249367893963</v>
      </c>
      <c r="I171" s="3" t="s">
        <v>310</v>
      </c>
      <c r="J171" t="s">
        <v>16</v>
      </c>
    </row>
    <row r="172" ht="23" customHeight="1" spans="1:10">
      <c r="A172" s="2">
        <v>171</v>
      </c>
      <c r="B172" s="3" t="s">
        <v>312</v>
      </c>
      <c r="C172" s="2" t="s">
        <v>323</v>
      </c>
      <c r="D172" s="2" t="s">
        <v>46</v>
      </c>
      <c r="E172" s="2" t="s">
        <v>324</v>
      </c>
      <c r="F172" s="2" t="s">
        <v>37</v>
      </c>
      <c r="G172" s="2" t="s">
        <v>26</v>
      </c>
      <c r="H172" s="4" t="str">
        <f>HYPERLINK("https://3g.k.sohu.com/t/n950250370?serialId=f7ae2e7e310cc4356b496fd40b3a5857&amp;showType=950250370","https://3g.k.sohu.com/t/n950250370?serialId=f7ae2e7e310cc4356b496fd40b3a5857&amp;showType=950250370")</f>
        <v>https://3g.k.sohu.com/t/n950250370?serialId=f7ae2e7e310cc4356b496fd40b3a5857&amp;showType=950250370</v>
      </c>
      <c r="I172" s="3" t="s">
        <v>310</v>
      </c>
      <c r="J172" t="s">
        <v>16</v>
      </c>
    </row>
    <row r="173" ht="23" customHeight="1" spans="1:10">
      <c r="A173" s="2">
        <v>172</v>
      </c>
      <c r="B173" s="3" t="s">
        <v>325</v>
      </c>
      <c r="C173" s="2" t="s">
        <v>326</v>
      </c>
      <c r="D173" s="2" t="s">
        <v>327</v>
      </c>
      <c r="E173" s="2" t="s">
        <v>328</v>
      </c>
      <c r="F173" s="2" t="s">
        <v>37</v>
      </c>
      <c r="G173" s="2" t="s">
        <v>21</v>
      </c>
      <c r="H173" s="4" t="str">
        <f>HYPERLINK("https://static.dingxinwen.com/dd-sharepage/detail/index.html?id=13407023","https://static.dingxinwen.com/dd-sharepage/detail/index.html?id=13407023")</f>
        <v>https://static.dingxinwen.com/dd-sharepage/detail/index.html?id=13407023</v>
      </c>
      <c r="I173" s="3" t="s">
        <v>310</v>
      </c>
      <c r="J173" t="s">
        <v>16</v>
      </c>
    </row>
    <row r="174" ht="23" customHeight="1" spans="1:10">
      <c r="A174" s="2">
        <v>173</v>
      </c>
      <c r="B174" s="3" t="s">
        <v>329</v>
      </c>
      <c r="C174" s="2" t="s">
        <v>330</v>
      </c>
      <c r="D174" s="2" t="s">
        <v>19</v>
      </c>
      <c r="E174" s="2" t="s">
        <v>20</v>
      </c>
      <c r="F174" s="2" t="s">
        <v>13</v>
      </c>
      <c r="G174" s="2" t="s">
        <v>21</v>
      </c>
      <c r="H174" s="4" t="str">
        <f>HYPERLINK("https://c.m.163.com/news/a/KETBK4N7055040N3.html","https://c.m.163.com/news/a/KETBK4N7055040N3.html")</f>
        <v>https://c.m.163.com/news/a/KETBK4N7055040N3.html</v>
      </c>
      <c r="I174" s="3" t="s">
        <v>310</v>
      </c>
      <c r="J174" t="s">
        <v>16</v>
      </c>
    </row>
    <row r="175" ht="23" customHeight="1" spans="1:10">
      <c r="A175" s="2">
        <v>174</v>
      </c>
      <c r="B175" s="3" t="s">
        <v>329</v>
      </c>
      <c r="C175" s="2" t="s">
        <v>331</v>
      </c>
      <c r="D175" s="2" t="s">
        <v>11</v>
      </c>
      <c r="E175" s="2" t="s">
        <v>126</v>
      </c>
      <c r="F175" s="2" t="s">
        <v>13</v>
      </c>
      <c r="G175" s="2" t="s">
        <v>21</v>
      </c>
      <c r="H175" s="4" t="str">
        <f>HYPERLINK("https://www.toutiao.com/article/7575072665828934144/","https://www.toutiao.com/article/7575072665828934144/")</f>
        <v>https://www.toutiao.com/article/7575072665828934144/</v>
      </c>
      <c r="I175" s="3" t="s">
        <v>310</v>
      </c>
      <c r="J175" t="s">
        <v>16</v>
      </c>
    </row>
    <row r="176" ht="23" customHeight="1" spans="1:10">
      <c r="A176" s="2">
        <v>175</v>
      </c>
      <c r="B176" s="3" t="s">
        <v>329</v>
      </c>
      <c r="C176" s="2" t="s">
        <v>332</v>
      </c>
      <c r="D176" s="2" t="s">
        <v>40</v>
      </c>
      <c r="E176" s="2" t="s">
        <v>20</v>
      </c>
      <c r="F176" s="2" t="s">
        <v>13</v>
      </c>
      <c r="G176" s="2" t="s">
        <v>21</v>
      </c>
      <c r="H176" s="4" t="str">
        <f>HYPERLINK("https://www.yoojia.com/article/9943469943214903462.html","https://www.yoojia.com/article/9943469943214903462.html")</f>
        <v>https://www.yoojia.com/article/9943469943214903462.html</v>
      </c>
      <c r="I176" s="3" t="s">
        <v>310</v>
      </c>
      <c r="J176" t="s">
        <v>16</v>
      </c>
    </row>
    <row r="177" ht="23" customHeight="1" spans="1:10">
      <c r="A177" s="2">
        <v>176</v>
      </c>
      <c r="B177" s="3" t="s">
        <v>329</v>
      </c>
      <c r="C177" s="2" t="s">
        <v>332</v>
      </c>
      <c r="D177" s="2" t="s">
        <v>41</v>
      </c>
      <c r="E177" s="2" t="s">
        <v>20</v>
      </c>
      <c r="F177" s="2" t="s">
        <v>13</v>
      </c>
      <c r="G177" s="2" t="s">
        <v>21</v>
      </c>
      <c r="H177" s="4" t="str">
        <f>HYPERLINK("https://mbd.baidu.com/newspage/data/landingshare?nid=news_9943469943214903462","https://mbd.baidu.com/newspage/data/landingshare?nid=news_9943469943214903462")</f>
        <v>https://mbd.baidu.com/newspage/data/landingshare?nid=news_9943469943214903462</v>
      </c>
      <c r="I177" s="3" t="s">
        <v>310</v>
      </c>
      <c r="J177" t="s">
        <v>16</v>
      </c>
    </row>
    <row r="178" ht="23" customHeight="1" spans="1:10">
      <c r="A178" s="2">
        <v>177</v>
      </c>
      <c r="B178" s="3" t="s">
        <v>329</v>
      </c>
      <c r="C178" s="2" t="s">
        <v>333</v>
      </c>
      <c r="D178" s="2" t="s">
        <v>334</v>
      </c>
      <c r="E178" s="2" t="s">
        <v>334</v>
      </c>
      <c r="F178" s="2" t="s">
        <v>37</v>
      </c>
      <c r="G178" s="2" t="s">
        <v>26</v>
      </c>
      <c r="H178" s="4" t="str">
        <f>HYPERLINK("https://j.021east.com/m/1763707046046912","https://j.021east.com/m/1763707046046912")</f>
        <v>https://j.021east.com/m/1763707046046912</v>
      </c>
      <c r="I178" s="3" t="s">
        <v>310</v>
      </c>
      <c r="J178" t="s">
        <v>16</v>
      </c>
    </row>
    <row r="179" ht="23" customHeight="1" spans="1:10">
      <c r="A179" s="2">
        <v>178</v>
      </c>
      <c r="B179" s="3" t="s">
        <v>329</v>
      </c>
      <c r="C179" s="2" t="s">
        <v>335</v>
      </c>
      <c r="D179" s="2" t="s">
        <v>41</v>
      </c>
      <c r="E179" s="2" t="s">
        <v>20</v>
      </c>
      <c r="F179" s="2" t="s">
        <v>13</v>
      </c>
      <c r="G179" s="2" t="s">
        <v>21</v>
      </c>
      <c r="H179" s="4" t="str">
        <f>HYPERLINK("https://mbd.baidu.com/newspage/data/landingshare?nid=news_9972940209165802610","https://mbd.baidu.com/newspage/data/landingshare?nid=news_9972940209165802610")</f>
        <v>https://mbd.baidu.com/newspage/data/landingshare?nid=news_9972940209165802610</v>
      </c>
      <c r="I179" s="3" t="s">
        <v>310</v>
      </c>
      <c r="J179" t="s">
        <v>16</v>
      </c>
    </row>
    <row r="180" ht="23" customHeight="1" spans="1:10">
      <c r="A180" s="2">
        <v>179</v>
      </c>
      <c r="B180" s="3" t="s">
        <v>329</v>
      </c>
      <c r="C180" s="2" t="s">
        <v>335</v>
      </c>
      <c r="D180" s="2" t="s">
        <v>40</v>
      </c>
      <c r="E180" s="2" t="s">
        <v>20</v>
      </c>
      <c r="F180" s="2" t="s">
        <v>13</v>
      </c>
      <c r="G180" s="2" t="s">
        <v>21</v>
      </c>
      <c r="H180" s="4" t="str">
        <f>HYPERLINK("https://www.yoojia.com/article/9972940209165802610.html","https://www.yoojia.com/article/9972940209165802610.html")</f>
        <v>https://www.yoojia.com/article/9972940209165802610.html</v>
      </c>
      <c r="I180" s="3" t="s">
        <v>310</v>
      </c>
      <c r="J180" t="s">
        <v>16</v>
      </c>
    </row>
    <row r="181" ht="23" customHeight="1" spans="1:10">
      <c r="A181" s="2">
        <v>180</v>
      </c>
      <c r="B181" s="3" t="s">
        <v>336</v>
      </c>
      <c r="C181" s="2" t="s">
        <v>337</v>
      </c>
      <c r="D181" s="2" t="s">
        <v>338</v>
      </c>
      <c r="E181" s="2" t="s">
        <v>339</v>
      </c>
      <c r="F181" s="2" t="s">
        <v>13</v>
      </c>
      <c r="G181" s="2" t="s">
        <v>21</v>
      </c>
      <c r="H181" s="4" t="str">
        <f>HYPERLINK("https://news.changsha.cn/xctt/html/110187/20251120/212948.shtml","https://news.changsha.cn/xctt/html/110187/20251120/212948.shtml")</f>
        <v>https://news.changsha.cn/xctt/html/110187/20251120/212948.shtml</v>
      </c>
      <c r="I181" s="3" t="s">
        <v>340</v>
      </c>
      <c r="J181" t="s">
        <v>16</v>
      </c>
    </row>
    <row r="182" ht="23" customHeight="1" spans="1:10">
      <c r="A182" s="2">
        <v>181</v>
      </c>
      <c r="B182" s="3" t="s">
        <v>341</v>
      </c>
      <c r="C182" s="2" t="s">
        <v>342</v>
      </c>
      <c r="D182" s="2" t="s">
        <v>40</v>
      </c>
      <c r="E182" s="2" t="s">
        <v>159</v>
      </c>
      <c r="F182" s="2" t="s">
        <v>13</v>
      </c>
      <c r="G182" s="2" t="s">
        <v>21</v>
      </c>
      <c r="H182" s="4" t="str">
        <f>HYPERLINK("https://www.yoojia.com/video/4184307034793383944.html","https://www.yoojia.com/video/4184307034793383944.html")</f>
        <v>https://www.yoojia.com/video/4184307034793383944.html</v>
      </c>
      <c r="I182" s="3" t="s">
        <v>343</v>
      </c>
      <c r="J182" t="s">
        <v>16</v>
      </c>
    </row>
    <row r="183" ht="23" customHeight="1" spans="1:10">
      <c r="A183" s="2">
        <v>182</v>
      </c>
      <c r="B183" s="3" t="s">
        <v>308</v>
      </c>
      <c r="C183" s="2" t="s">
        <v>344</v>
      </c>
      <c r="D183" s="2" t="s">
        <v>19</v>
      </c>
      <c r="E183" s="2" t="s">
        <v>20</v>
      </c>
      <c r="F183" s="2" t="s">
        <v>13</v>
      </c>
      <c r="G183" s="2" t="s">
        <v>21</v>
      </c>
      <c r="H183" s="4" t="str">
        <f>HYPERLINK("https://c.m.163.com/news/a/KEQUC7JR055040N3.html","https://c.m.163.com/news/a/KEQUC7JR055040N3.html")</f>
        <v>https://c.m.163.com/news/a/KEQUC7JR055040N3.html</v>
      </c>
      <c r="I183" s="3" t="s">
        <v>345</v>
      </c>
      <c r="J183" t="s">
        <v>16</v>
      </c>
    </row>
    <row r="184" ht="23" customHeight="1" spans="1:10">
      <c r="A184" s="2">
        <v>183</v>
      </c>
      <c r="B184" s="3" t="s">
        <v>341</v>
      </c>
      <c r="C184" s="2" t="s">
        <v>346</v>
      </c>
      <c r="D184" s="2" t="s">
        <v>347</v>
      </c>
      <c r="E184" s="2" t="s">
        <v>348</v>
      </c>
      <c r="F184" s="2" t="s">
        <v>37</v>
      </c>
      <c r="G184" s="2" t="s">
        <v>26</v>
      </c>
      <c r="H184" s="4" t="str">
        <f>HYPERLINK("https://static.zhoudaosh.com/files/cnews/2025/20251120/A44BD4B72A7D027C0133CFADB092C3B99E436C001672958D0875C4F3073202F6/1.html","https://static.zhoudaosh.com/files/cnews/2025/20251120/A44BD4B72A7D027C0133CFADB092C3B99E436C001672958D0875C4F3073202F6/1.html")</f>
        <v>https://static.zhoudaosh.com/files/cnews/2025/20251120/A44BD4B72A7D027C0133CFADB092C3B99E436C001672958D0875C4F3073202F6/1.html</v>
      </c>
      <c r="I184" s="3" t="s">
        <v>76</v>
      </c>
      <c r="J184" t="s">
        <v>16</v>
      </c>
    </row>
    <row r="185" ht="23" customHeight="1" spans="1:10">
      <c r="A185" s="2">
        <v>184</v>
      </c>
      <c r="B185" s="3" t="s">
        <v>308</v>
      </c>
      <c r="C185" s="2" t="s">
        <v>349</v>
      </c>
      <c r="D185" s="2" t="s">
        <v>41</v>
      </c>
      <c r="E185" s="2" t="s">
        <v>20</v>
      </c>
      <c r="F185" s="2" t="s">
        <v>13</v>
      </c>
      <c r="G185" s="2" t="s">
        <v>21</v>
      </c>
      <c r="H185" s="4" t="str">
        <f>HYPERLINK("https://mbd.baidu.com/newspage/data/landingshare?nid=news_9450562840181794007","https://mbd.baidu.com/newspage/data/landingshare?nid=news_9450562840181794007")</f>
        <v>https://mbd.baidu.com/newspage/data/landingshare?nid=news_9450562840181794007</v>
      </c>
      <c r="I185" s="3" t="s">
        <v>310</v>
      </c>
      <c r="J185" t="s">
        <v>16</v>
      </c>
    </row>
    <row r="186" ht="23" customHeight="1" spans="1:10">
      <c r="A186" s="2">
        <v>185</v>
      </c>
      <c r="B186" s="3" t="s">
        <v>308</v>
      </c>
      <c r="C186" s="2" t="s">
        <v>349</v>
      </c>
      <c r="D186" s="2" t="s">
        <v>40</v>
      </c>
      <c r="E186" s="2" t="s">
        <v>20</v>
      </c>
      <c r="F186" s="2" t="s">
        <v>13</v>
      </c>
      <c r="G186" s="2" t="s">
        <v>21</v>
      </c>
      <c r="H186" s="4" t="str">
        <f>HYPERLINK("https://www.yoojia.com/article/9450562840181794007.html","https://www.yoojia.com/article/9450562840181794007.html")</f>
        <v>https://www.yoojia.com/article/9450562840181794007.html</v>
      </c>
      <c r="I186" s="3" t="s">
        <v>310</v>
      </c>
      <c r="J186" t="s">
        <v>16</v>
      </c>
    </row>
    <row r="187" ht="23" customHeight="1" spans="1:10">
      <c r="A187" s="2">
        <v>186</v>
      </c>
      <c r="B187" s="3" t="s">
        <v>308</v>
      </c>
      <c r="C187" s="2" t="s">
        <v>350</v>
      </c>
      <c r="D187" s="2" t="s">
        <v>40</v>
      </c>
      <c r="E187" s="2" t="s">
        <v>20</v>
      </c>
      <c r="F187" s="2" t="s">
        <v>13</v>
      </c>
      <c r="G187" s="2" t="s">
        <v>21</v>
      </c>
      <c r="H187" s="4" t="str">
        <f>HYPERLINK("https://www.yoojia.com/article/10097607330077112999.html","https://www.yoojia.com/article/10097607330077112999.html")</f>
        <v>https://www.yoojia.com/article/10097607330077112999.html</v>
      </c>
      <c r="I187" s="3" t="s">
        <v>310</v>
      </c>
      <c r="J187" t="s">
        <v>16</v>
      </c>
    </row>
    <row r="188" ht="23" customHeight="1" spans="1:10">
      <c r="A188" s="2">
        <v>187</v>
      </c>
      <c r="B188" s="3" t="s">
        <v>308</v>
      </c>
      <c r="C188" s="2" t="s">
        <v>350</v>
      </c>
      <c r="D188" s="2" t="s">
        <v>41</v>
      </c>
      <c r="E188" s="2" t="s">
        <v>20</v>
      </c>
      <c r="F188" s="2" t="s">
        <v>13</v>
      </c>
      <c r="G188" s="2" t="s">
        <v>21</v>
      </c>
      <c r="H188" s="4" t="str">
        <f>HYPERLINK("https://mbd.baidu.com/newspage/data/landingshare?nid=news_10097607330077112999","https://mbd.baidu.com/newspage/data/landingshare?nid=news_10097607330077112999")</f>
        <v>https://mbd.baidu.com/newspage/data/landingshare?nid=news_10097607330077112999</v>
      </c>
      <c r="I188" s="3" t="s">
        <v>310</v>
      </c>
      <c r="J188" t="s">
        <v>16</v>
      </c>
    </row>
    <row r="189" ht="23" customHeight="1" spans="1:10">
      <c r="A189" s="2">
        <v>188</v>
      </c>
      <c r="B189" s="3" t="s">
        <v>351</v>
      </c>
      <c r="C189" s="2" t="s">
        <v>352</v>
      </c>
      <c r="D189" s="2" t="s">
        <v>353</v>
      </c>
      <c r="E189" s="2" t="s">
        <v>328</v>
      </c>
      <c r="F189" s="2" t="s">
        <v>354</v>
      </c>
      <c r="G189" s="2" t="s">
        <v>21</v>
      </c>
      <c r="H189" s="4" t="str">
        <f>HYPERLINK("https://weibo.com/2539961154/QeINf4h4n","https://weibo.com/2539961154/QeINf4h4n")</f>
        <v>https://weibo.com/2539961154/QeINf4h4n</v>
      </c>
      <c r="I189" s="3" t="s">
        <v>355</v>
      </c>
      <c r="J189" t="s">
        <v>16</v>
      </c>
    </row>
    <row r="190" ht="23" customHeight="1" spans="1:10">
      <c r="A190" s="2">
        <v>189</v>
      </c>
      <c r="B190" s="3" t="s">
        <v>341</v>
      </c>
      <c r="C190" s="2" t="s">
        <v>356</v>
      </c>
      <c r="D190" s="2" t="s">
        <v>11</v>
      </c>
      <c r="E190" s="2" t="s">
        <v>126</v>
      </c>
      <c r="F190" s="2" t="s">
        <v>13</v>
      </c>
      <c r="G190" s="2" t="s">
        <v>21</v>
      </c>
      <c r="H190" s="4" t="str">
        <f>HYPERLINK("https://www.toutiao.com/article/7574700438470312484/","https://www.toutiao.com/article/7574700438470312484/")</f>
        <v>https://www.toutiao.com/article/7574700438470312484/</v>
      </c>
      <c r="I190" s="3" t="s">
        <v>357</v>
      </c>
      <c r="J190" t="s">
        <v>16</v>
      </c>
    </row>
    <row r="191" ht="23" customHeight="1" spans="1:10">
      <c r="A191" s="2">
        <v>190</v>
      </c>
      <c r="B191" s="3" t="s">
        <v>341</v>
      </c>
      <c r="C191" s="2" t="s">
        <v>358</v>
      </c>
      <c r="D191" s="2" t="s">
        <v>40</v>
      </c>
      <c r="E191" s="2" t="s">
        <v>126</v>
      </c>
      <c r="F191" s="2" t="s">
        <v>13</v>
      </c>
      <c r="G191" s="2" t="s">
        <v>21</v>
      </c>
      <c r="H191" s="4" t="str">
        <f>HYPERLINK("https://www.yoojia.com/article/9328632111885033962.html","https://www.yoojia.com/article/9328632111885033962.html")</f>
        <v>https://www.yoojia.com/article/9328632111885033962.html</v>
      </c>
      <c r="I191" s="3" t="s">
        <v>357</v>
      </c>
      <c r="J191" t="s">
        <v>16</v>
      </c>
    </row>
    <row r="192" ht="23" customHeight="1" spans="1:10">
      <c r="A192" s="2">
        <v>191</v>
      </c>
      <c r="B192" s="3" t="s">
        <v>341</v>
      </c>
      <c r="C192" s="2" t="s">
        <v>358</v>
      </c>
      <c r="D192" s="2" t="s">
        <v>359</v>
      </c>
      <c r="E192" s="2" t="s">
        <v>360</v>
      </c>
      <c r="F192" s="2" t="s">
        <v>13</v>
      </c>
      <c r="G192" s="2" t="s">
        <v>14</v>
      </c>
      <c r="H192" s="4" t="str">
        <f>HYPERLINK("http://m.cnhubei.com/p/19676124.html","http://m.cnhubei.com/p/19676124.html")</f>
        <v>http://m.cnhubei.com/p/19676124.html</v>
      </c>
      <c r="I192" s="3" t="s">
        <v>361</v>
      </c>
      <c r="J192" t="s">
        <v>16</v>
      </c>
    </row>
    <row r="193" ht="23" customHeight="1" spans="1:10">
      <c r="A193" s="2">
        <v>192</v>
      </c>
      <c r="B193" s="3" t="s">
        <v>341</v>
      </c>
      <c r="C193" s="2" t="s">
        <v>358</v>
      </c>
      <c r="D193" s="2" t="s">
        <v>41</v>
      </c>
      <c r="E193" s="2" t="s">
        <v>126</v>
      </c>
      <c r="F193" s="2" t="s">
        <v>13</v>
      </c>
      <c r="G193" s="2" t="s">
        <v>21</v>
      </c>
      <c r="H193" s="4" t="str">
        <f>HYPERLINK("https://mbd.baidu.com/newspage/data/landingshare?nid=news_9328632111885033962","https://mbd.baidu.com/newspage/data/landingshare?nid=news_9328632111885033962")</f>
        <v>https://mbd.baidu.com/newspage/data/landingshare?nid=news_9328632111885033962</v>
      </c>
      <c r="I193" s="3" t="s">
        <v>357</v>
      </c>
      <c r="J193" t="s">
        <v>16</v>
      </c>
    </row>
    <row r="194" ht="23" customHeight="1" spans="1:10">
      <c r="A194" s="2">
        <v>193</v>
      </c>
      <c r="B194" s="3" t="s">
        <v>341</v>
      </c>
      <c r="C194" s="2" t="s">
        <v>362</v>
      </c>
      <c r="D194" s="2" t="s">
        <v>35</v>
      </c>
      <c r="E194" s="2" t="s">
        <v>98</v>
      </c>
      <c r="F194" s="2" t="s">
        <v>13</v>
      </c>
      <c r="G194" s="2" t="s">
        <v>14</v>
      </c>
      <c r="H194" s="4" t="str">
        <f>HYPERLINK("https://new.qq.com/rain/a/20251120A04JY400","https://new.qq.com/rain/a/20251120A04JY400")</f>
        <v>https://new.qq.com/rain/a/20251120A04JY400</v>
      </c>
      <c r="I194" s="3" t="s">
        <v>361</v>
      </c>
      <c r="J194" t="s">
        <v>16</v>
      </c>
    </row>
    <row r="195" ht="23" customHeight="1" spans="1:10">
      <c r="A195" s="2">
        <v>194</v>
      </c>
      <c r="B195" s="3" t="s">
        <v>341</v>
      </c>
      <c r="C195" s="2" t="s">
        <v>362</v>
      </c>
      <c r="D195" s="2" t="s">
        <v>34</v>
      </c>
      <c r="E195" s="2" t="s">
        <v>98</v>
      </c>
      <c r="F195" s="2" t="s">
        <v>13</v>
      </c>
      <c r="G195" s="2" t="s">
        <v>14</v>
      </c>
      <c r="H195" s="4" t="str">
        <f>HYPERLINK("https://kandianshare.html5.qq.com/v2/news/5002694170287569218","https://kandianshare.html5.qq.com/v2/news/5002694170287569218")</f>
        <v>https://kandianshare.html5.qq.com/v2/news/5002694170287569218</v>
      </c>
      <c r="I195" s="3" t="s">
        <v>361</v>
      </c>
      <c r="J195" t="s">
        <v>16</v>
      </c>
    </row>
    <row r="196" ht="23" customHeight="1" spans="1:10">
      <c r="A196" s="2">
        <v>195</v>
      </c>
      <c r="B196" s="3" t="s">
        <v>341</v>
      </c>
      <c r="C196" s="2" t="s">
        <v>363</v>
      </c>
      <c r="D196" s="2" t="s">
        <v>11</v>
      </c>
      <c r="E196" s="2" t="s">
        <v>98</v>
      </c>
      <c r="F196" s="2" t="s">
        <v>13</v>
      </c>
      <c r="G196" s="2" t="s">
        <v>14</v>
      </c>
      <c r="H196" s="4" t="str">
        <f>HYPERLINK("https://www.toutiao.com/article/7574698558830559754/","https://www.toutiao.com/article/7574698558830559754/")</f>
        <v>https://www.toutiao.com/article/7574698558830559754/</v>
      </c>
      <c r="I196" s="3" t="s">
        <v>364</v>
      </c>
      <c r="J196" t="s">
        <v>16</v>
      </c>
    </row>
    <row r="197" ht="23" customHeight="1" spans="1:10">
      <c r="A197" s="2">
        <v>196</v>
      </c>
      <c r="B197" s="3" t="s">
        <v>341</v>
      </c>
      <c r="C197" s="2" t="s">
        <v>365</v>
      </c>
      <c r="D197" s="2" t="s">
        <v>41</v>
      </c>
      <c r="E197" s="2" t="s">
        <v>98</v>
      </c>
      <c r="F197" s="2" t="s">
        <v>13</v>
      </c>
      <c r="G197" s="2" t="s">
        <v>14</v>
      </c>
      <c r="H197" s="4" t="str">
        <f>HYPERLINK("https://mbd.baidu.com/newspage/data/landingshare?nid=news_9050020795932544364","https://mbd.baidu.com/newspage/data/landingshare?nid=news_9050020795932544364")</f>
        <v>https://mbd.baidu.com/newspage/data/landingshare?nid=news_9050020795932544364</v>
      </c>
      <c r="I197" s="3" t="s">
        <v>361</v>
      </c>
      <c r="J197" t="s">
        <v>16</v>
      </c>
    </row>
    <row r="198" ht="23" customHeight="1" spans="1:10">
      <c r="A198" s="2">
        <v>197</v>
      </c>
      <c r="B198" s="3" t="s">
        <v>341</v>
      </c>
      <c r="C198" s="2" t="s">
        <v>365</v>
      </c>
      <c r="D198" s="2" t="s">
        <v>40</v>
      </c>
      <c r="E198" s="2" t="s">
        <v>98</v>
      </c>
      <c r="F198" s="2" t="s">
        <v>13</v>
      </c>
      <c r="G198" s="2" t="s">
        <v>14</v>
      </c>
      <c r="H198" s="4" t="str">
        <f>HYPERLINK("https://www.yoojia.com/article/9050020795932544364.html","https://www.yoojia.com/article/9050020795932544364.html")</f>
        <v>https://www.yoojia.com/article/9050020795932544364.html</v>
      </c>
      <c r="I198" s="3" t="s">
        <v>361</v>
      </c>
      <c r="J198" t="s">
        <v>16</v>
      </c>
    </row>
    <row r="199" ht="23" customHeight="1" spans="1:10">
      <c r="A199" s="2">
        <v>198</v>
      </c>
      <c r="B199" s="3" t="s">
        <v>341</v>
      </c>
      <c r="C199" s="2" t="s">
        <v>366</v>
      </c>
      <c r="D199" s="2" t="s">
        <v>367</v>
      </c>
      <c r="E199" s="2" t="s">
        <v>367</v>
      </c>
      <c r="F199" s="2" t="s">
        <v>13</v>
      </c>
      <c r="G199" s="2" t="s">
        <v>26</v>
      </c>
      <c r="H199" s="4" t="str">
        <f>HYPERLINK("https://www.shixunkuaibao.com/?p=2860394","https://www.shixunkuaibao.com/?p=2860394")</f>
        <v>https://www.shixunkuaibao.com/?p=2860394</v>
      </c>
      <c r="I199" s="3" t="s">
        <v>361</v>
      </c>
      <c r="J199" t="s">
        <v>16</v>
      </c>
    </row>
    <row r="200" ht="23" customHeight="1" spans="1:10">
      <c r="A200" s="2">
        <v>199</v>
      </c>
      <c r="B200" s="3" t="s">
        <v>341</v>
      </c>
      <c r="C200" s="2" t="s">
        <v>368</v>
      </c>
      <c r="D200" s="2" t="s">
        <v>327</v>
      </c>
      <c r="E200" s="2" t="s">
        <v>369</v>
      </c>
      <c r="F200" s="2" t="s">
        <v>37</v>
      </c>
      <c r="G200" s="2" t="s">
        <v>26</v>
      </c>
      <c r="H200" s="4" t="str">
        <f>HYPERLINK("https://static.dingxinwen.com/dd-sharepage/detail/index.html?id=13384873","https://static.dingxinwen.com/dd-sharepage/detail/index.html?id=13384873")</f>
        <v>https://static.dingxinwen.com/dd-sharepage/detail/index.html?id=13384873</v>
      </c>
      <c r="I200" s="3" t="s">
        <v>361</v>
      </c>
      <c r="J200" t="s">
        <v>16</v>
      </c>
    </row>
    <row r="201" ht="23" customHeight="1" spans="1:10">
      <c r="A201" s="2">
        <v>200</v>
      </c>
      <c r="B201" s="3" t="s">
        <v>341</v>
      </c>
      <c r="C201" s="2" t="s">
        <v>370</v>
      </c>
      <c r="D201" s="2" t="s">
        <v>46</v>
      </c>
      <c r="E201" s="2" t="s">
        <v>371</v>
      </c>
      <c r="F201" s="2" t="s">
        <v>13</v>
      </c>
      <c r="G201" s="2" t="s">
        <v>14</v>
      </c>
      <c r="H201" s="4" t="str">
        <f>HYPERLINK("https://www.sohu.com/a/956513365_162758","https://www.sohu.com/a/956513365_162758")</f>
        <v>https://www.sohu.com/a/956513365_162758</v>
      </c>
      <c r="I201" s="3" t="s">
        <v>361</v>
      </c>
      <c r="J201" t="s">
        <v>16</v>
      </c>
    </row>
    <row r="202" ht="23" customHeight="1" spans="1:10">
      <c r="A202" s="2">
        <v>201</v>
      </c>
      <c r="B202" s="3" t="s">
        <v>341</v>
      </c>
      <c r="C202" s="2" t="s">
        <v>370</v>
      </c>
      <c r="D202" s="2" t="s">
        <v>46</v>
      </c>
      <c r="E202" s="2" t="s">
        <v>371</v>
      </c>
      <c r="F202" s="2" t="s">
        <v>37</v>
      </c>
      <c r="G202" s="2" t="s">
        <v>14</v>
      </c>
      <c r="H202" s="4" t="str">
        <f>HYPERLINK("https://3g.k.sohu.com/t/n949628758?serialId=a910041ac55f323abe7318fcddc97777&amp;showType=949628758","https://3g.k.sohu.com/t/n949628758?serialId=a910041ac55f323abe7318fcddc97777&amp;showType=949628758")</f>
        <v>https://3g.k.sohu.com/t/n949628758?serialId=a910041ac55f323abe7318fcddc97777&amp;showType=949628758</v>
      </c>
      <c r="I202" s="3" t="s">
        <v>361</v>
      </c>
      <c r="J202" t="s">
        <v>16</v>
      </c>
    </row>
    <row r="203" ht="23" customHeight="1" spans="1:10">
      <c r="A203" s="2">
        <v>202</v>
      </c>
      <c r="B203" s="3" t="s">
        <v>341</v>
      </c>
      <c r="C203" s="2" t="s">
        <v>372</v>
      </c>
      <c r="D203" s="2" t="s">
        <v>11</v>
      </c>
      <c r="E203" s="2" t="s">
        <v>371</v>
      </c>
      <c r="F203" s="2" t="s">
        <v>13</v>
      </c>
      <c r="G203" s="2" t="s">
        <v>14</v>
      </c>
      <c r="H203" s="4" t="str">
        <f>HYPERLINK("https://www.toutiao.com/article/7574694640960438822/","https://www.toutiao.com/article/7574694640960438822/")</f>
        <v>https://www.toutiao.com/article/7574694640960438822/</v>
      </c>
      <c r="I203" s="3" t="s">
        <v>364</v>
      </c>
      <c r="J203" t="s">
        <v>16</v>
      </c>
    </row>
    <row r="204" ht="23" customHeight="1" spans="1:10">
      <c r="A204" s="2">
        <v>203</v>
      </c>
      <c r="B204" s="3" t="s">
        <v>341</v>
      </c>
      <c r="C204" s="2" t="s">
        <v>373</v>
      </c>
      <c r="D204" s="2" t="s">
        <v>41</v>
      </c>
      <c r="E204" s="2" t="s">
        <v>371</v>
      </c>
      <c r="F204" s="2" t="s">
        <v>13</v>
      </c>
      <c r="G204" s="2" t="s">
        <v>14</v>
      </c>
      <c r="H204" s="4" t="str">
        <f>HYPERLINK("https://mbd.baidu.com/newspage/data/landingshare?nid=news_9425313642338667428","https://mbd.baidu.com/newspage/data/landingshare?nid=news_9425313642338667428")</f>
        <v>https://mbd.baidu.com/newspage/data/landingshare?nid=news_9425313642338667428</v>
      </c>
      <c r="I204" s="3" t="s">
        <v>361</v>
      </c>
      <c r="J204" t="s">
        <v>16</v>
      </c>
    </row>
    <row r="205" ht="23" customHeight="1" spans="1:10">
      <c r="A205" s="2">
        <v>204</v>
      </c>
      <c r="B205" s="3" t="s">
        <v>341</v>
      </c>
      <c r="C205" s="2" t="s">
        <v>373</v>
      </c>
      <c r="D205" s="2" t="s">
        <v>40</v>
      </c>
      <c r="E205" s="2" t="s">
        <v>371</v>
      </c>
      <c r="F205" s="2" t="s">
        <v>13</v>
      </c>
      <c r="G205" s="2" t="s">
        <v>14</v>
      </c>
      <c r="H205" s="4" t="str">
        <f>HYPERLINK("https://www.yoojia.com/article/9425313642338667428.html","https://www.yoojia.com/article/9425313642338667428.html")</f>
        <v>https://www.yoojia.com/article/9425313642338667428.html</v>
      </c>
      <c r="I205" s="3" t="s">
        <v>361</v>
      </c>
      <c r="J205" t="s">
        <v>16</v>
      </c>
    </row>
    <row r="206" ht="23" customHeight="1" spans="1:10">
      <c r="A206" s="2">
        <v>205</v>
      </c>
      <c r="B206" s="3" t="s">
        <v>341</v>
      </c>
      <c r="C206" s="2" t="s">
        <v>374</v>
      </c>
      <c r="D206" s="2" t="s">
        <v>375</v>
      </c>
      <c r="E206" s="2" t="s">
        <v>375</v>
      </c>
      <c r="F206" s="2" t="s">
        <v>13</v>
      </c>
      <c r="G206" s="2" t="s">
        <v>21</v>
      </c>
      <c r="H206" s="4" t="str">
        <f>HYPERLINK("http://news.anhuinews.com/xwgn/202511/t20251120_8924824.html","http://news.anhuinews.com/xwgn/202511/t20251120_8924824.html")</f>
        <v>http://news.anhuinews.com/xwgn/202511/t20251120_8924824.html</v>
      </c>
      <c r="I206" s="3" t="s">
        <v>376</v>
      </c>
      <c r="J206" t="s">
        <v>16</v>
      </c>
    </row>
    <row r="207" ht="23" customHeight="1" spans="1:10">
      <c r="A207" s="2">
        <v>206</v>
      </c>
      <c r="B207" s="3" t="s">
        <v>341</v>
      </c>
      <c r="C207" s="2" t="s">
        <v>374</v>
      </c>
      <c r="D207" s="2" t="s">
        <v>46</v>
      </c>
      <c r="E207" s="2" t="s">
        <v>375</v>
      </c>
      <c r="F207" s="2" t="s">
        <v>37</v>
      </c>
      <c r="G207" s="2" t="s">
        <v>21</v>
      </c>
      <c r="H207" s="4" t="str">
        <f>HYPERLINK("https://3g.k.sohu.com/t/n949586290?serialId=7ef21f9d633a108f2829d85ac9298cd9&amp;showType=949586290","https://3g.k.sohu.com/t/n949586290?serialId=7ef21f9d633a108f2829d85ac9298cd9&amp;showType=949586290")</f>
        <v>https://3g.k.sohu.com/t/n949586290?serialId=7ef21f9d633a108f2829d85ac9298cd9&amp;showType=949586290</v>
      </c>
      <c r="I207" s="3" t="s">
        <v>376</v>
      </c>
      <c r="J207" t="s">
        <v>16</v>
      </c>
    </row>
    <row r="208" ht="23" customHeight="1" spans="1:10">
      <c r="A208" s="2">
        <v>207</v>
      </c>
      <c r="B208" s="3" t="s">
        <v>341</v>
      </c>
      <c r="C208" s="2" t="s">
        <v>374</v>
      </c>
      <c r="D208" s="2" t="s">
        <v>29</v>
      </c>
      <c r="E208" s="2" t="s">
        <v>375</v>
      </c>
      <c r="F208" s="2" t="s">
        <v>13</v>
      </c>
      <c r="G208" s="2" t="s">
        <v>21</v>
      </c>
      <c r="H208" s="4" t="str">
        <f>HYPERLINK("https://finance.sina.cn/2025-11-20/detail-infxzrax2769477.d.html","https://finance.sina.cn/2025-11-20/detail-infxzrax2769477.d.html")</f>
        <v>https://finance.sina.cn/2025-11-20/detail-infxzrax2769477.d.html</v>
      </c>
      <c r="I208" s="3" t="s">
        <v>377</v>
      </c>
      <c r="J208" t="s">
        <v>16</v>
      </c>
    </row>
    <row r="209" ht="23" customHeight="1" spans="1:10">
      <c r="A209" s="2">
        <v>208</v>
      </c>
      <c r="B209" s="3" t="s">
        <v>341</v>
      </c>
      <c r="C209" s="2" t="s">
        <v>378</v>
      </c>
      <c r="D209" s="2" t="s">
        <v>379</v>
      </c>
      <c r="E209" s="2" t="s">
        <v>371</v>
      </c>
      <c r="F209" s="2" t="s">
        <v>13</v>
      </c>
      <c r="G209" s="2" t="s">
        <v>14</v>
      </c>
      <c r="H209" s="4" t="str">
        <f>HYPERLINK("http://www.yidianzixun.com/article/14UYLf4V","http://www.yidianzixun.com/article/14UYLf4V")</f>
        <v>http://www.yidianzixun.com/article/14UYLf4V</v>
      </c>
      <c r="I209" s="3" t="s">
        <v>361</v>
      </c>
      <c r="J209" t="s">
        <v>16</v>
      </c>
    </row>
    <row r="210" ht="23" customHeight="1" spans="1:10">
      <c r="A210" s="2">
        <v>209</v>
      </c>
      <c r="B210" s="3" t="s">
        <v>341</v>
      </c>
      <c r="C210" s="2" t="s">
        <v>380</v>
      </c>
      <c r="D210" s="2" t="s">
        <v>46</v>
      </c>
      <c r="E210" s="2" t="s">
        <v>371</v>
      </c>
      <c r="F210" s="2" t="s">
        <v>37</v>
      </c>
      <c r="G210" s="2" t="s">
        <v>14</v>
      </c>
      <c r="H210" s="4" t="str">
        <f>HYPERLINK("https://3g.k.sohu.com/t/n949565005?serialId=31066eb32644ca2a582714ab93c9ea90&amp;showType=949565005","https://3g.k.sohu.com/t/n949565005?serialId=31066eb32644ca2a582714ab93c9ea90&amp;showType=949565005")</f>
        <v>https://3g.k.sohu.com/t/n949565005?serialId=31066eb32644ca2a582714ab93c9ea90&amp;showType=949565005</v>
      </c>
      <c r="I210" s="3" t="s">
        <v>376</v>
      </c>
      <c r="J210" t="s">
        <v>16</v>
      </c>
    </row>
    <row r="211" ht="23" customHeight="1" spans="1:10">
      <c r="A211" s="2">
        <v>210</v>
      </c>
      <c r="B211" s="3" t="s">
        <v>341</v>
      </c>
      <c r="C211" s="2" t="s">
        <v>380</v>
      </c>
      <c r="D211" s="2" t="s">
        <v>371</v>
      </c>
      <c r="E211" s="2" t="s">
        <v>371</v>
      </c>
      <c r="F211" s="2" t="s">
        <v>37</v>
      </c>
      <c r="G211" s="2" t="s">
        <v>14</v>
      </c>
      <c r="H211" s="4" t="str">
        <f>HYPERLINK("http://m.gmw.cn/2025-11/20/content_1304232418.htm","http://m.gmw.cn/2025-11/20/content_1304232418.htm")</f>
        <v>http://m.gmw.cn/2025-11/20/content_1304232418.htm</v>
      </c>
      <c r="I211" s="3" t="s">
        <v>361</v>
      </c>
      <c r="J211" t="s">
        <v>16</v>
      </c>
    </row>
    <row r="212" ht="23" customHeight="1" spans="1:10">
      <c r="A212" s="2">
        <v>211</v>
      </c>
      <c r="B212" s="3" t="s">
        <v>341</v>
      </c>
      <c r="C212" s="2" t="s">
        <v>381</v>
      </c>
      <c r="D212" s="2" t="s">
        <v>11</v>
      </c>
      <c r="E212" s="2" t="s">
        <v>382</v>
      </c>
      <c r="F212" s="2" t="s">
        <v>13</v>
      </c>
      <c r="G212" s="2" t="s">
        <v>21</v>
      </c>
      <c r="H212" s="4" t="str">
        <f>HYPERLINK("https://www.toutiao.com/article/7574691808157696522/","https://www.toutiao.com/article/7574691808157696522/")</f>
        <v>https://www.toutiao.com/article/7574691808157696522/</v>
      </c>
      <c r="I212" s="3" t="s">
        <v>361</v>
      </c>
      <c r="J212" t="s">
        <v>16</v>
      </c>
    </row>
    <row r="213" ht="23" customHeight="1" spans="1:10">
      <c r="A213" s="2">
        <v>212</v>
      </c>
      <c r="B213" s="3" t="s">
        <v>341</v>
      </c>
      <c r="C213" s="2" t="s">
        <v>383</v>
      </c>
      <c r="D213" s="2" t="s">
        <v>286</v>
      </c>
      <c r="E213" s="2" t="s">
        <v>382</v>
      </c>
      <c r="F213" s="2" t="s">
        <v>13</v>
      </c>
      <c r="G213" s="2" t="s">
        <v>21</v>
      </c>
      <c r="H213" s="4" t="str">
        <f>HYPERLINK("https://www.360kuai.com/9eac3381098aee18f","https://www.360kuai.com/9eac3381098aee18f")</f>
        <v>https://www.360kuai.com/9eac3381098aee18f</v>
      </c>
      <c r="I213" s="3" t="s">
        <v>376</v>
      </c>
      <c r="J213" t="s">
        <v>16</v>
      </c>
    </row>
    <row r="214" ht="23" customHeight="1" spans="1:10">
      <c r="A214" s="2">
        <v>213</v>
      </c>
      <c r="B214" s="3" t="s">
        <v>341</v>
      </c>
      <c r="C214" s="2" t="s">
        <v>383</v>
      </c>
      <c r="D214" s="2" t="s">
        <v>107</v>
      </c>
      <c r="E214" s="2" t="s">
        <v>382</v>
      </c>
      <c r="F214" s="2" t="s">
        <v>13</v>
      </c>
      <c r="G214" s="2" t="s">
        <v>21</v>
      </c>
      <c r="H214" s="4" t="str">
        <f>HYPERLINK("https://k.sina.cn/article_2090512390_7c9ab006020031ype.html","https://k.sina.cn/article_2090512390_7c9ab006020031ype.html")</f>
        <v>https://k.sina.cn/article_2090512390_7c9ab006020031ype.html</v>
      </c>
      <c r="I214" s="3" t="s">
        <v>376</v>
      </c>
      <c r="J214" t="s">
        <v>16</v>
      </c>
    </row>
    <row r="215" ht="23" customHeight="1" spans="1:10">
      <c r="A215" s="2">
        <v>214</v>
      </c>
      <c r="B215" s="3" t="s">
        <v>341</v>
      </c>
      <c r="C215" s="2" t="s">
        <v>384</v>
      </c>
      <c r="D215" s="2" t="s">
        <v>41</v>
      </c>
      <c r="E215" s="2" t="s">
        <v>382</v>
      </c>
      <c r="F215" s="2" t="s">
        <v>13</v>
      </c>
      <c r="G215" s="2" t="s">
        <v>21</v>
      </c>
      <c r="H215" s="4" t="str">
        <f>HYPERLINK("https://mbd.baidu.com/newspage/data/landingshare?nid=news_9917783058030371769","https://mbd.baidu.com/newspage/data/landingshare?nid=news_9917783058030371769")</f>
        <v>https://mbd.baidu.com/newspage/data/landingshare?nid=news_9917783058030371769</v>
      </c>
      <c r="I215" s="3" t="s">
        <v>376</v>
      </c>
      <c r="J215" t="s">
        <v>16</v>
      </c>
    </row>
    <row r="216" ht="23" customHeight="1" spans="1:10">
      <c r="A216" s="2">
        <v>215</v>
      </c>
      <c r="B216" s="3" t="s">
        <v>341</v>
      </c>
      <c r="C216" s="2" t="s">
        <v>384</v>
      </c>
      <c r="D216" s="2" t="s">
        <v>40</v>
      </c>
      <c r="E216" s="2" t="s">
        <v>382</v>
      </c>
      <c r="F216" s="2" t="s">
        <v>13</v>
      </c>
      <c r="G216" s="2" t="s">
        <v>21</v>
      </c>
      <c r="H216" s="4" t="str">
        <f>HYPERLINK("https://www.yoojia.com/article/9917783058030371769.html","https://www.yoojia.com/article/9917783058030371769.html")</f>
        <v>https://www.yoojia.com/article/9917783058030371769.html</v>
      </c>
      <c r="I216" s="3" t="s">
        <v>376</v>
      </c>
      <c r="J216" t="s">
        <v>16</v>
      </c>
    </row>
    <row r="217" ht="23" customHeight="1" spans="1:10">
      <c r="A217" s="2">
        <v>216</v>
      </c>
      <c r="B217" s="3" t="s">
        <v>341</v>
      </c>
      <c r="C217" s="2" t="s">
        <v>385</v>
      </c>
      <c r="D217" s="2" t="s">
        <v>360</v>
      </c>
      <c r="E217" s="2" t="s">
        <v>360</v>
      </c>
      <c r="F217" s="2" t="s">
        <v>13</v>
      </c>
      <c r="G217" s="2" t="s">
        <v>14</v>
      </c>
      <c r="H217" s="4" t="str">
        <f>HYPERLINK("https://news.cctv.com/2025/11/20/ARTIqVHpv3wVpa8oGkZaDEXT251120.shtml","https://news.cctv.com/2025/11/20/ARTIqVHpv3wVpa8oGkZaDEXT251120.shtml")</f>
        <v>https://news.cctv.com/2025/11/20/ARTIqVHpv3wVpa8oGkZaDEXT251120.shtml</v>
      </c>
      <c r="I217" s="3" t="s">
        <v>361</v>
      </c>
      <c r="J217" t="s">
        <v>16</v>
      </c>
    </row>
    <row r="218" ht="23" customHeight="1" spans="1:10">
      <c r="A218" s="2">
        <v>217</v>
      </c>
      <c r="B218" s="3" t="s">
        <v>341</v>
      </c>
      <c r="C218" s="2" t="s">
        <v>385</v>
      </c>
      <c r="D218" s="2" t="s">
        <v>107</v>
      </c>
      <c r="E218" s="2" t="s">
        <v>108</v>
      </c>
      <c r="F218" s="2" t="s">
        <v>13</v>
      </c>
      <c r="G218" s="2" t="s">
        <v>14</v>
      </c>
      <c r="H218" s="4" t="str">
        <f>HYPERLINK("https://k.sina.cn/article_7517400647_1c0126e4705907t60a.html","https://k.sina.cn/article_7517400647_1c0126e4705907t60a.html")</f>
        <v>https://k.sina.cn/article_7517400647_1c0126e4705907t60a.html</v>
      </c>
      <c r="I218" s="3" t="s">
        <v>386</v>
      </c>
      <c r="J218" t="s">
        <v>16</v>
      </c>
    </row>
    <row r="219" ht="23" customHeight="1" spans="1:10">
      <c r="A219" s="2">
        <v>218</v>
      </c>
      <c r="B219" s="3" t="s">
        <v>341</v>
      </c>
      <c r="C219" s="2" t="s">
        <v>385</v>
      </c>
      <c r="D219" s="2" t="s">
        <v>387</v>
      </c>
      <c r="E219" s="2" t="s">
        <v>360</v>
      </c>
      <c r="F219" s="2" t="s">
        <v>13</v>
      </c>
      <c r="G219" s="2" t="s">
        <v>14</v>
      </c>
      <c r="H219" s="4" t="str">
        <f>HYPERLINK("https://qlwb.com.cn/detail/26901151.html","https://qlwb.com.cn/detail/26901151.html")</f>
        <v>https://qlwb.com.cn/detail/26901151.html</v>
      </c>
      <c r="I219" s="3" t="s">
        <v>388</v>
      </c>
      <c r="J219" t="s">
        <v>16</v>
      </c>
    </row>
    <row r="220" ht="23" customHeight="1" spans="1:10">
      <c r="A220" s="2">
        <v>219</v>
      </c>
      <c r="B220" s="3" t="s">
        <v>325</v>
      </c>
      <c r="C220" s="2" t="s">
        <v>389</v>
      </c>
      <c r="D220" s="2" t="s">
        <v>91</v>
      </c>
      <c r="E220" s="2" t="s">
        <v>328</v>
      </c>
      <c r="F220" s="2" t="s">
        <v>91</v>
      </c>
      <c r="G220" s="2" t="s">
        <v>21</v>
      </c>
      <c r="H220" s="4" t="str">
        <f>HYPERLINK("http://mp.weixin.qq.com/s?__biz=MjM5NTA5NzYyMA==&amp;mid=2655373040&amp;idx=3&amp;sn=b619211167da346f5df665821106b3d8","http://mp.weixin.qq.com/s?__biz=MjM5NTA5NzYyMA==&amp;mid=2655373040&amp;idx=3&amp;sn=b619211167da346f5df665821106b3d8")</f>
        <v>http://mp.weixin.qq.com/s?__biz=MjM5NTA5NzYyMA==&amp;mid=2655373040&amp;idx=3&amp;sn=b619211167da346f5df665821106b3d8</v>
      </c>
      <c r="I220" s="3" t="s">
        <v>310</v>
      </c>
      <c r="J220" t="s">
        <v>16</v>
      </c>
    </row>
    <row r="221" ht="23" customHeight="1" spans="1:10">
      <c r="A221" s="2">
        <v>220</v>
      </c>
      <c r="B221" s="3" t="s">
        <v>325</v>
      </c>
      <c r="C221" s="2" t="s">
        <v>390</v>
      </c>
      <c r="D221" s="2" t="s">
        <v>46</v>
      </c>
      <c r="E221" s="2" t="s">
        <v>328</v>
      </c>
      <c r="F221" s="2" t="s">
        <v>37</v>
      </c>
      <c r="G221" s="2" t="s">
        <v>21</v>
      </c>
      <c r="H221" s="4" t="str">
        <f>HYPERLINK("https://3g.k.sohu.com/t/n949560915?serialId=0fda1df7bac54f662ef3008d5488b5aa&amp;showType=949560915","https://3g.k.sohu.com/t/n949560915?serialId=0fda1df7bac54f662ef3008d5488b5aa&amp;showType=949560915")</f>
        <v>https://3g.k.sohu.com/t/n949560915?serialId=0fda1df7bac54f662ef3008d5488b5aa&amp;showType=949560915</v>
      </c>
      <c r="I221" s="3" t="s">
        <v>310</v>
      </c>
      <c r="J221" t="s">
        <v>16</v>
      </c>
    </row>
    <row r="222" ht="23" customHeight="1" spans="1:10">
      <c r="A222" s="2">
        <v>221</v>
      </c>
      <c r="B222" s="3" t="s">
        <v>341</v>
      </c>
      <c r="C222" s="2" t="s">
        <v>391</v>
      </c>
      <c r="D222" s="2" t="s">
        <v>41</v>
      </c>
      <c r="E222" s="2" t="s">
        <v>20</v>
      </c>
      <c r="F222" s="2" t="s">
        <v>13</v>
      </c>
      <c r="G222" s="2" t="s">
        <v>21</v>
      </c>
      <c r="H222" s="4" t="str">
        <f>HYPERLINK("https://mbd.baidu.com/newspage/data/landingshare?nid=news_10135856199998595890","https://mbd.baidu.com/newspage/data/landingshare?nid=news_10135856199998595890")</f>
        <v>https://mbd.baidu.com/newspage/data/landingshare?nid=news_10135856199998595890</v>
      </c>
      <c r="I222" s="3" t="s">
        <v>392</v>
      </c>
      <c r="J222" t="s">
        <v>16</v>
      </c>
    </row>
    <row r="223" ht="23" customHeight="1" spans="1:10">
      <c r="A223" s="2">
        <v>222</v>
      </c>
      <c r="B223" s="3" t="s">
        <v>341</v>
      </c>
      <c r="C223" s="2" t="s">
        <v>391</v>
      </c>
      <c r="D223" s="2" t="s">
        <v>40</v>
      </c>
      <c r="E223" s="2" t="s">
        <v>20</v>
      </c>
      <c r="F223" s="2" t="s">
        <v>13</v>
      </c>
      <c r="G223" s="2" t="s">
        <v>21</v>
      </c>
      <c r="H223" s="4" t="str">
        <f>HYPERLINK("https://www.yoojia.com/article/10135856199998595890.html","https://www.yoojia.com/article/10135856199998595890.html")</f>
        <v>https://www.yoojia.com/article/10135856199998595890.html</v>
      </c>
      <c r="I223" s="3" t="s">
        <v>392</v>
      </c>
      <c r="J223" t="s">
        <v>16</v>
      </c>
    </row>
    <row r="224" ht="23" customHeight="1" spans="1:10">
      <c r="A224" s="2">
        <v>223</v>
      </c>
      <c r="B224" s="3" t="s">
        <v>393</v>
      </c>
      <c r="C224" s="2" t="s">
        <v>394</v>
      </c>
      <c r="D224" s="2" t="s">
        <v>41</v>
      </c>
      <c r="E224" s="2" t="s">
        <v>20</v>
      </c>
      <c r="F224" s="2" t="s">
        <v>13</v>
      </c>
      <c r="G224" s="2" t="s">
        <v>21</v>
      </c>
      <c r="H224" s="4" t="str">
        <f>HYPERLINK("https://mbd.baidu.com/newspage/data/landingshare?nid=news_10392016545078308007","https://mbd.baidu.com/newspage/data/landingshare?nid=news_10392016545078308007")</f>
        <v>https://mbd.baidu.com/newspage/data/landingshare?nid=news_10392016545078308007</v>
      </c>
      <c r="I224" s="3" t="s">
        <v>395</v>
      </c>
      <c r="J224" t="s">
        <v>16</v>
      </c>
    </row>
    <row r="225" ht="23" customHeight="1" spans="1:10">
      <c r="A225" s="2">
        <v>224</v>
      </c>
      <c r="B225" s="3" t="s">
        <v>393</v>
      </c>
      <c r="C225" s="2" t="s">
        <v>394</v>
      </c>
      <c r="D225" s="2" t="s">
        <v>40</v>
      </c>
      <c r="E225" s="2" t="s">
        <v>20</v>
      </c>
      <c r="F225" s="2" t="s">
        <v>13</v>
      </c>
      <c r="G225" s="2" t="s">
        <v>21</v>
      </c>
      <c r="H225" s="4" t="str">
        <f>HYPERLINK("https://www.yoojia.com/article/10392016545078308007.html","https://www.yoojia.com/article/10392016545078308007.html")</f>
        <v>https://www.yoojia.com/article/10392016545078308007.html</v>
      </c>
      <c r="I225" s="3" t="s">
        <v>395</v>
      </c>
      <c r="J225" t="s">
        <v>16</v>
      </c>
    </row>
    <row r="226" ht="23" customHeight="1" spans="1:10">
      <c r="A226" s="2">
        <v>225</v>
      </c>
      <c r="B226" s="3" t="s">
        <v>341</v>
      </c>
      <c r="C226" s="2" t="s">
        <v>396</v>
      </c>
      <c r="D226" s="2" t="s">
        <v>71</v>
      </c>
      <c r="E226" s="2" t="s">
        <v>71</v>
      </c>
      <c r="F226" s="2" t="s">
        <v>13</v>
      </c>
      <c r="G226" s="2" t="s">
        <v>21</v>
      </c>
      <c r="H226" s="4" t="str">
        <f>HYPERLINK("https://nw.eastday.com/zq/zh/20251120/405a76d135a46304ff5e14aa68c6b70e.html","https://nw.eastday.com/zq/zh/20251120/405a76d135a46304ff5e14aa68c6b70e.html")</f>
        <v>https://nw.eastday.com/zq/zh/20251120/405a76d135a46304ff5e14aa68c6b70e.html</v>
      </c>
      <c r="I226" s="3" t="s">
        <v>392</v>
      </c>
      <c r="J226" t="s">
        <v>16</v>
      </c>
    </row>
    <row r="227" ht="23" customHeight="1" spans="1:10">
      <c r="A227" s="2">
        <v>226</v>
      </c>
      <c r="B227" s="3" t="s">
        <v>341</v>
      </c>
      <c r="C227" s="2" t="s">
        <v>397</v>
      </c>
      <c r="D227" s="2" t="s">
        <v>334</v>
      </c>
      <c r="E227" s="2" t="s">
        <v>334</v>
      </c>
      <c r="F227" s="2" t="s">
        <v>37</v>
      </c>
      <c r="G227" s="2" t="s">
        <v>26</v>
      </c>
      <c r="H227" s="4" t="str">
        <f>HYPERLINK("https://j.021east.com/m/1763608610046602","https://j.021east.com/m/1763608610046602")</f>
        <v>https://j.021east.com/m/1763608610046602</v>
      </c>
      <c r="I227" s="3" t="s">
        <v>392</v>
      </c>
      <c r="J227" t="s">
        <v>16</v>
      </c>
    </row>
    <row r="228" ht="23" customHeight="1" spans="1:10">
      <c r="A228" s="2">
        <v>227</v>
      </c>
      <c r="B228" s="3" t="s">
        <v>341</v>
      </c>
      <c r="C228" s="2" t="s">
        <v>398</v>
      </c>
      <c r="D228" s="2" t="s">
        <v>20</v>
      </c>
      <c r="E228" s="2" t="s">
        <v>399</v>
      </c>
      <c r="F228" s="2" t="s">
        <v>37</v>
      </c>
      <c r="G228" s="2" t="s">
        <v>21</v>
      </c>
      <c r="H228" s="4" t="str">
        <f>HYPERLINK("https://sghservices.shobserver.com/share/detail.html?id=1670635","https://sghservices.shobserver.com/share/detail.html?id=1670635")</f>
        <v>https://sghservices.shobserver.com/share/detail.html?id=1670635</v>
      </c>
      <c r="I228" s="3" t="s">
        <v>392</v>
      </c>
      <c r="J228" t="s">
        <v>16</v>
      </c>
    </row>
    <row r="229" ht="23" customHeight="1" spans="1:10">
      <c r="A229" s="2">
        <v>228</v>
      </c>
      <c r="B229" s="3" t="s">
        <v>400</v>
      </c>
      <c r="C229" s="2" t="s">
        <v>401</v>
      </c>
      <c r="D229" s="2" t="s">
        <v>24</v>
      </c>
      <c r="E229" s="2" t="s">
        <v>402</v>
      </c>
      <c r="F229" s="2" t="s">
        <v>13</v>
      </c>
      <c r="G229" s="2" t="s">
        <v>26</v>
      </c>
      <c r="H229" s="4" t="str">
        <f>HYPERLINK("https://edu.online.sh.cn/education/gb/content/2025-11/20/content_10399270.htm","https://edu.online.sh.cn/education/gb/content/2025-11/20/content_10399270.htm")</f>
        <v>https://edu.online.sh.cn/education/gb/content/2025-11/20/content_10399270.htm</v>
      </c>
      <c r="I229" s="3" t="s">
        <v>403</v>
      </c>
      <c r="J229" t="s">
        <v>16</v>
      </c>
    </row>
    <row r="230" ht="23" customHeight="1" spans="1:10">
      <c r="A230" s="2">
        <v>229</v>
      </c>
      <c r="B230" s="3" t="s">
        <v>400</v>
      </c>
      <c r="C230" s="2" t="s">
        <v>404</v>
      </c>
      <c r="D230" s="2" t="s">
        <v>19</v>
      </c>
      <c r="E230" s="2" t="s">
        <v>20</v>
      </c>
      <c r="F230" s="2" t="s">
        <v>13</v>
      </c>
      <c r="G230" s="2" t="s">
        <v>21</v>
      </c>
      <c r="H230" s="4" t="str">
        <f>HYPERLINK("https://c.m.163.com/news/a/KEOS21VF055040N3.html","https://c.m.163.com/news/a/KEOS21VF055040N3.html")</f>
        <v>https://c.m.163.com/news/a/KEOS21VF055040N3.html</v>
      </c>
      <c r="I230" s="3" t="s">
        <v>405</v>
      </c>
      <c r="J230" t="s">
        <v>16</v>
      </c>
    </row>
    <row r="231" ht="23" customHeight="1" spans="1:10">
      <c r="A231" s="2">
        <v>230</v>
      </c>
      <c r="B231" s="3" t="s">
        <v>400</v>
      </c>
      <c r="C231" s="2" t="s">
        <v>406</v>
      </c>
      <c r="D231" s="2" t="s">
        <v>19</v>
      </c>
      <c r="E231" s="2" t="s">
        <v>115</v>
      </c>
      <c r="F231" s="2" t="s">
        <v>13</v>
      </c>
      <c r="G231" s="2" t="s">
        <v>26</v>
      </c>
      <c r="H231" s="4" t="str">
        <f>HYPERLINK("https://c.m.163.com/news/a/KEORAOG605568W0A.html","https://c.m.163.com/news/a/KEORAOG605568W0A.html")</f>
        <v>https://c.m.163.com/news/a/KEORAOG605568W0A.html</v>
      </c>
      <c r="I231" s="3" t="s">
        <v>405</v>
      </c>
      <c r="J231" t="s">
        <v>16</v>
      </c>
    </row>
    <row r="232" ht="23" customHeight="1" spans="1:10">
      <c r="A232" s="2">
        <v>231</v>
      </c>
      <c r="B232" s="3" t="s">
        <v>400</v>
      </c>
      <c r="C232" s="2" t="s">
        <v>407</v>
      </c>
      <c r="D232" s="2" t="s">
        <v>11</v>
      </c>
      <c r="E232" s="2" t="s">
        <v>20</v>
      </c>
      <c r="F232" s="2" t="s">
        <v>13</v>
      </c>
      <c r="G232" s="2" t="s">
        <v>21</v>
      </c>
      <c r="H232" s="4" t="str">
        <f>HYPERLINK("https://www.toutiao.com/article/7574436477573317135/","https://www.toutiao.com/article/7574436477573317135/")</f>
        <v>https://www.toutiao.com/article/7574436477573317135/</v>
      </c>
      <c r="I232" s="3" t="s">
        <v>405</v>
      </c>
      <c r="J232" t="s">
        <v>16</v>
      </c>
    </row>
    <row r="233" ht="23" customHeight="1" spans="1:10">
      <c r="A233" s="2">
        <v>232</v>
      </c>
      <c r="B233" s="3" t="s">
        <v>400</v>
      </c>
      <c r="C233" s="2" t="s">
        <v>408</v>
      </c>
      <c r="D233" s="2" t="s">
        <v>35</v>
      </c>
      <c r="E233" s="2" t="s">
        <v>20</v>
      </c>
      <c r="F233" s="2" t="s">
        <v>13</v>
      </c>
      <c r="G233" s="2" t="s">
        <v>21</v>
      </c>
      <c r="H233" s="4" t="str">
        <f>HYPERLINK("https://new.qq.com/rain/a/20251119A06VZV00","https://new.qq.com/rain/a/20251119A06VZV00")</f>
        <v>https://new.qq.com/rain/a/20251119A06VZV00</v>
      </c>
      <c r="I233" s="3" t="s">
        <v>405</v>
      </c>
      <c r="J233" t="s">
        <v>16</v>
      </c>
    </row>
    <row r="234" ht="23" customHeight="1" spans="1:10">
      <c r="A234" s="2">
        <v>233</v>
      </c>
      <c r="B234" s="3" t="s">
        <v>400</v>
      </c>
      <c r="C234" s="2" t="s">
        <v>408</v>
      </c>
      <c r="D234" s="2" t="s">
        <v>34</v>
      </c>
      <c r="E234" s="2" t="s">
        <v>20</v>
      </c>
      <c r="F234" s="2" t="s">
        <v>13</v>
      </c>
      <c r="G234" s="2" t="s">
        <v>21</v>
      </c>
      <c r="H234" s="4" t="str">
        <f>HYPERLINK("https://kandianshare.html5.qq.com/v2/news/4660420470283649346","https://kandianshare.html5.qq.com/v2/news/4660420470283649346")</f>
        <v>https://kandianshare.html5.qq.com/v2/news/4660420470283649346</v>
      </c>
      <c r="I234" s="3" t="s">
        <v>405</v>
      </c>
      <c r="J234" t="s">
        <v>16</v>
      </c>
    </row>
    <row r="235" ht="23" customHeight="1" spans="1:10">
      <c r="A235" s="2">
        <v>234</v>
      </c>
      <c r="B235" s="3" t="s">
        <v>400</v>
      </c>
      <c r="C235" s="2" t="s">
        <v>409</v>
      </c>
      <c r="D235" s="2" t="s">
        <v>41</v>
      </c>
      <c r="E235" s="2" t="s">
        <v>20</v>
      </c>
      <c r="F235" s="2" t="s">
        <v>13</v>
      </c>
      <c r="G235" s="2" t="s">
        <v>21</v>
      </c>
      <c r="H235" s="4" t="str">
        <f>HYPERLINK("https://mbd.baidu.com/newspage/data/landingshare?nid=news_9509169966854320900","https://mbd.baidu.com/newspage/data/landingshare?nid=news_9509169966854320900")</f>
        <v>https://mbd.baidu.com/newspage/data/landingshare?nid=news_9509169966854320900</v>
      </c>
      <c r="I235" s="3" t="s">
        <v>405</v>
      </c>
      <c r="J235" t="s">
        <v>16</v>
      </c>
    </row>
    <row r="236" ht="23" customHeight="1" spans="1:10">
      <c r="A236" s="2">
        <v>235</v>
      </c>
      <c r="B236" s="3" t="s">
        <v>400</v>
      </c>
      <c r="C236" s="2" t="s">
        <v>409</v>
      </c>
      <c r="D236" s="2" t="s">
        <v>40</v>
      </c>
      <c r="E236" s="2" t="s">
        <v>20</v>
      </c>
      <c r="F236" s="2" t="s">
        <v>13</v>
      </c>
      <c r="G236" s="2" t="s">
        <v>21</v>
      </c>
      <c r="H236" s="4" t="str">
        <f>HYPERLINK("https://www.yoojia.com/article/9509169966854320900.html","https://www.yoojia.com/article/9509169966854320900.html")</f>
        <v>https://www.yoojia.com/article/9509169966854320900.html</v>
      </c>
      <c r="I236" s="3" t="s">
        <v>405</v>
      </c>
      <c r="J236" t="s">
        <v>16</v>
      </c>
    </row>
    <row r="237" ht="23" customHeight="1" spans="1:10">
      <c r="A237" s="2">
        <v>236</v>
      </c>
      <c r="B237" s="3" t="s">
        <v>400</v>
      </c>
      <c r="C237" s="2" t="s">
        <v>410</v>
      </c>
      <c r="D237" s="2" t="s">
        <v>43</v>
      </c>
      <c r="E237" s="2" t="s">
        <v>402</v>
      </c>
      <c r="F237" s="2" t="s">
        <v>13</v>
      </c>
      <c r="G237" s="2" t="s">
        <v>21</v>
      </c>
      <c r="H237" s="4" t="str">
        <f>HYPERLINK("https://www.jfdaily.com.cn/staticsg/res/html/web/newsDetail.html?id=1021666","https://www.jfdaily.com.cn/staticsg/res/html/web/newsDetail.html?id=1021666")</f>
        <v>https://www.jfdaily.com.cn/staticsg/res/html/web/newsDetail.html?id=1021666</v>
      </c>
      <c r="I237" s="3" t="s">
        <v>405</v>
      </c>
      <c r="J237" t="s">
        <v>16</v>
      </c>
    </row>
    <row r="238" ht="23" customHeight="1" spans="1:10">
      <c r="A238" s="2">
        <v>237</v>
      </c>
      <c r="B238" s="3" t="s">
        <v>400</v>
      </c>
      <c r="C238" s="2" t="s">
        <v>410</v>
      </c>
      <c r="D238" s="2" t="s">
        <v>43</v>
      </c>
      <c r="E238" s="2" t="s">
        <v>402</v>
      </c>
      <c r="F238" s="2" t="s">
        <v>13</v>
      </c>
      <c r="G238" s="2" t="s">
        <v>21</v>
      </c>
      <c r="H238" s="4" t="str">
        <f>HYPERLINK("https://www.shobserver.com/staticsg/res/html/web/newsDetail.html?id=1021666","https://www.shobserver.com/staticsg/res/html/web/newsDetail.html?id=1021666")</f>
        <v>https://www.shobserver.com/staticsg/res/html/web/newsDetail.html?id=1021666</v>
      </c>
      <c r="I238" s="3" t="s">
        <v>405</v>
      </c>
      <c r="J238" t="s">
        <v>16</v>
      </c>
    </row>
    <row r="239" ht="23" customHeight="1" spans="1:10">
      <c r="A239" s="2">
        <v>238</v>
      </c>
      <c r="B239" s="3" t="s">
        <v>400</v>
      </c>
      <c r="C239" s="2" t="s">
        <v>411</v>
      </c>
      <c r="D239" s="2" t="s">
        <v>43</v>
      </c>
      <c r="E239" s="2" t="s">
        <v>402</v>
      </c>
      <c r="F239" s="2" t="s">
        <v>13</v>
      </c>
      <c r="G239" s="2" t="s">
        <v>21</v>
      </c>
      <c r="H239" s="4" t="str">
        <f>HYPERLINK("https://www.jfdaily.com/staticsg/res/html/web/newsDetail.html?id=1021666","https://www.jfdaily.com/staticsg/res/html/web/newsDetail.html?id=1021666")</f>
        <v>https://www.jfdaily.com/staticsg/res/html/web/newsDetail.html?id=1021666</v>
      </c>
      <c r="I239" s="3" t="s">
        <v>405</v>
      </c>
      <c r="J239" t="s">
        <v>16</v>
      </c>
    </row>
    <row r="240" ht="23" customHeight="1" spans="1:10">
      <c r="A240" s="2">
        <v>239</v>
      </c>
      <c r="B240" s="3" t="s">
        <v>341</v>
      </c>
      <c r="C240" s="2" t="s">
        <v>412</v>
      </c>
      <c r="D240" s="2" t="s">
        <v>40</v>
      </c>
      <c r="E240" s="2" t="s">
        <v>20</v>
      </c>
      <c r="F240" s="2" t="s">
        <v>13</v>
      </c>
      <c r="G240" s="2" t="s">
        <v>21</v>
      </c>
      <c r="H240" s="4" t="str">
        <f>HYPERLINK("https://www.yoojia.com/article/9223805579404026467.html","https://www.yoojia.com/article/9223805579404026467.html")</f>
        <v>https://www.yoojia.com/article/9223805579404026467.html</v>
      </c>
      <c r="I240" s="3" t="s">
        <v>392</v>
      </c>
      <c r="J240" t="s">
        <v>16</v>
      </c>
    </row>
    <row r="241" ht="23" customHeight="1" spans="1:10">
      <c r="A241" s="2">
        <v>240</v>
      </c>
      <c r="B241" s="3" t="s">
        <v>341</v>
      </c>
      <c r="C241" s="2" t="s">
        <v>412</v>
      </c>
      <c r="D241" s="2" t="s">
        <v>41</v>
      </c>
      <c r="E241" s="2" t="s">
        <v>20</v>
      </c>
      <c r="F241" s="2" t="s">
        <v>13</v>
      </c>
      <c r="G241" s="2" t="s">
        <v>21</v>
      </c>
      <c r="H241" s="4" t="str">
        <f>HYPERLINK("https://mbd.baidu.com/newspage/data/landingshare?nid=news_9223805579404026467","https://mbd.baidu.com/newspage/data/landingshare?nid=news_9223805579404026467")</f>
        <v>https://mbd.baidu.com/newspage/data/landingshare?nid=news_9223805579404026467</v>
      </c>
      <c r="I241" s="3" t="s">
        <v>392</v>
      </c>
      <c r="J241" t="s">
        <v>16</v>
      </c>
    </row>
    <row r="242" ht="23" customHeight="1" spans="1:10">
      <c r="A242" s="2">
        <v>241</v>
      </c>
      <c r="B242" s="3" t="s">
        <v>413</v>
      </c>
      <c r="C242" s="2" t="s">
        <v>414</v>
      </c>
      <c r="D242" s="2" t="s">
        <v>19</v>
      </c>
      <c r="E242" s="2" t="s">
        <v>415</v>
      </c>
      <c r="F242" s="2" t="s">
        <v>13</v>
      </c>
      <c r="G242" s="2" t="s">
        <v>21</v>
      </c>
      <c r="H242" s="4" t="str">
        <f>HYPERLINK("https://c.m.163.com/news/a/KENP94L10534P59R.html","https://c.m.163.com/news/a/KENP94L10534P59R.html")</f>
        <v>https://c.m.163.com/news/a/KENP94L10534P59R.html</v>
      </c>
      <c r="I242" s="3" t="s">
        <v>416</v>
      </c>
      <c r="J242" t="s">
        <v>16</v>
      </c>
    </row>
    <row r="243" ht="23" customHeight="1" spans="1:10">
      <c r="A243" s="2">
        <v>242</v>
      </c>
      <c r="B243" s="3" t="s">
        <v>413</v>
      </c>
      <c r="C243" s="2" t="s">
        <v>417</v>
      </c>
      <c r="D243" s="2" t="s">
        <v>11</v>
      </c>
      <c r="E243" s="2" t="s">
        <v>418</v>
      </c>
      <c r="F243" s="2" t="s">
        <v>13</v>
      </c>
      <c r="G243" s="2" t="s">
        <v>21</v>
      </c>
      <c r="H243" s="4" t="str">
        <f>HYPERLINK("https://www.toutiao.com/article/7574282434343174692/","https://www.toutiao.com/article/7574282434343174692/")</f>
        <v>https://www.toutiao.com/article/7574282434343174692/</v>
      </c>
      <c r="I243" s="3" t="s">
        <v>416</v>
      </c>
      <c r="J243" t="s">
        <v>16</v>
      </c>
    </row>
    <row r="244" ht="23" customHeight="1" spans="1:10">
      <c r="A244" s="2">
        <v>243</v>
      </c>
      <c r="B244" s="3" t="s">
        <v>413</v>
      </c>
      <c r="C244" s="2" t="s">
        <v>419</v>
      </c>
      <c r="D244" s="2" t="s">
        <v>35</v>
      </c>
      <c r="E244" s="2" t="s">
        <v>415</v>
      </c>
      <c r="F244" s="2" t="s">
        <v>13</v>
      </c>
      <c r="G244" s="2" t="s">
        <v>21</v>
      </c>
      <c r="H244" s="4" t="str">
        <f>HYPERLINK("https://new.qq.com/rain/a/20251119A03GF700","https://new.qq.com/rain/a/20251119A03GF700")</f>
        <v>https://new.qq.com/rain/a/20251119A03GF700</v>
      </c>
      <c r="I244" s="3" t="s">
        <v>416</v>
      </c>
      <c r="J244" t="s">
        <v>16</v>
      </c>
    </row>
    <row r="245" ht="23" customHeight="1" spans="1:10">
      <c r="A245" s="2">
        <v>244</v>
      </c>
      <c r="B245" s="3" t="s">
        <v>413</v>
      </c>
      <c r="C245" s="2" t="s">
        <v>419</v>
      </c>
      <c r="D245" s="2" t="s">
        <v>34</v>
      </c>
      <c r="E245" s="2" t="s">
        <v>415</v>
      </c>
      <c r="F245" s="2" t="s">
        <v>13</v>
      </c>
      <c r="G245" s="2" t="s">
        <v>21</v>
      </c>
      <c r="H245" s="4" t="str">
        <f>HYPERLINK("https://kandianshare.html5.qq.com/v2/news/4165024436203565378","https://kandianshare.html5.qq.com/v2/news/4165024436203565378")</f>
        <v>https://kandianshare.html5.qq.com/v2/news/4165024436203565378</v>
      </c>
      <c r="I245" s="3" t="s">
        <v>416</v>
      </c>
      <c r="J245" t="s">
        <v>16</v>
      </c>
    </row>
    <row r="246" ht="23" customHeight="1" spans="1:10">
      <c r="A246" s="2">
        <v>245</v>
      </c>
      <c r="B246" s="3" t="s">
        <v>413</v>
      </c>
      <c r="C246" s="2" t="s">
        <v>420</v>
      </c>
      <c r="D246" s="2" t="s">
        <v>379</v>
      </c>
      <c r="E246" s="2" t="s">
        <v>415</v>
      </c>
      <c r="F246" s="2" t="s">
        <v>13</v>
      </c>
      <c r="G246" s="2" t="s">
        <v>21</v>
      </c>
      <c r="H246" s="4" t="str">
        <f>HYPERLINK("http://www.yidianzixun.com/article/14T1KxzF","http://www.yidianzixun.com/article/14T1KxzF")</f>
        <v>http://www.yidianzixun.com/article/14T1KxzF</v>
      </c>
      <c r="I246" s="3" t="s">
        <v>416</v>
      </c>
      <c r="J246" t="s">
        <v>16</v>
      </c>
    </row>
    <row r="247" ht="23" customHeight="1" spans="1:10">
      <c r="A247" s="2">
        <v>246</v>
      </c>
      <c r="B247" s="3" t="s">
        <v>413</v>
      </c>
      <c r="C247" s="2" t="s">
        <v>421</v>
      </c>
      <c r="D247" s="2" t="s">
        <v>41</v>
      </c>
      <c r="E247" s="2" t="s">
        <v>415</v>
      </c>
      <c r="F247" s="2" t="s">
        <v>13</v>
      </c>
      <c r="G247" s="2" t="s">
        <v>21</v>
      </c>
      <c r="H247" s="4" t="str">
        <f>HYPERLINK("https://mbd.baidu.com/newspage/data/landingshare?nid=news_10041011008519466866","https://mbd.baidu.com/newspage/data/landingshare?nid=news_10041011008519466866")</f>
        <v>https://mbd.baidu.com/newspage/data/landingshare?nid=news_10041011008519466866</v>
      </c>
      <c r="I247" s="3" t="s">
        <v>416</v>
      </c>
      <c r="J247" t="s">
        <v>16</v>
      </c>
    </row>
    <row r="248" ht="23" customHeight="1" spans="1:10">
      <c r="A248" s="2">
        <v>247</v>
      </c>
      <c r="B248" s="3" t="s">
        <v>413</v>
      </c>
      <c r="C248" s="2" t="s">
        <v>421</v>
      </c>
      <c r="D248" s="2" t="s">
        <v>40</v>
      </c>
      <c r="E248" s="2" t="s">
        <v>415</v>
      </c>
      <c r="F248" s="2" t="s">
        <v>13</v>
      </c>
      <c r="G248" s="2" t="s">
        <v>21</v>
      </c>
      <c r="H248" s="4" t="str">
        <f>HYPERLINK("https://www.yoojia.com/article/10041011008519466866.html","https://www.yoojia.com/article/10041011008519466866.html")</f>
        <v>https://www.yoojia.com/article/10041011008519466866.html</v>
      </c>
      <c r="I248" s="3" t="s">
        <v>416</v>
      </c>
      <c r="J248" t="s">
        <v>16</v>
      </c>
    </row>
    <row r="249" ht="23" customHeight="1" spans="1:10">
      <c r="A249" s="2">
        <v>248</v>
      </c>
      <c r="B249" s="3" t="s">
        <v>422</v>
      </c>
      <c r="C249" s="2" t="s">
        <v>423</v>
      </c>
      <c r="D249" s="2" t="s">
        <v>424</v>
      </c>
      <c r="E249" s="2" t="s">
        <v>424</v>
      </c>
      <c r="F249" s="2" t="s">
        <v>13</v>
      </c>
      <c r="G249" s="2" t="s">
        <v>26</v>
      </c>
      <c r="H249" s="4" t="str">
        <f>HYPERLINK("http://www.apcreports.org.cn/index/news/60352.html","http://www.apcreports.org.cn/index/news/60352.html")</f>
        <v>http://www.apcreports.org.cn/index/news/60352.html</v>
      </c>
      <c r="I249" s="3" t="s">
        <v>425</v>
      </c>
      <c r="J249" t="s">
        <v>16</v>
      </c>
    </row>
    <row r="250" ht="23" customHeight="1" spans="1:10">
      <c r="A250" s="2">
        <v>249</v>
      </c>
      <c r="B250" s="3" t="s">
        <v>426</v>
      </c>
      <c r="C250" s="2" t="s">
        <v>427</v>
      </c>
      <c r="D250" s="2" t="s">
        <v>428</v>
      </c>
      <c r="E250" s="2" t="s">
        <v>428</v>
      </c>
      <c r="F250" s="2" t="s">
        <v>13</v>
      </c>
      <c r="G250" s="2" t="s">
        <v>14</v>
      </c>
      <c r="H250" s="4" t="str">
        <f>HYPERLINK("https://article.xuexi.cn/articles/index.html?art_id=16752094604844151839&amp;cdn=https://region-zhejiang-resource","https://article.xuexi.cn/articles/index.html?art_id=16752094604844151839&amp;cdn=https://region-zhejiang-resource")</f>
        <v>https://article.xuexi.cn/articles/index.html?art_id=16752094604844151839&amp;cdn=https://region-zhejiang-resource</v>
      </c>
      <c r="I250" s="3" t="s">
        <v>429</v>
      </c>
      <c r="J250" t="s">
        <v>16</v>
      </c>
    </row>
    <row r="251" ht="23" customHeight="1" spans="1:10">
      <c r="A251" s="2">
        <v>250</v>
      </c>
      <c r="B251" s="3" t="s">
        <v>430</v>
      </c>
      <c r="C251" s="2" t="s">
        <v>431</v>
      </c>
      <c r="D251" s="2" t="s">
        <v>35</v>
      </c>
      <c r="E251" s="2" t="s">
        <v>432</v>
      </c>
      <c r="F251" s="2" t="s">
        <v>13</v>
      </c>
      <c r="G251" s="2" t="s">
        <v>21</v>
      </c>
      <c r="H251" s="4" t="str">
        <f>HYPERLINK("https://new.qq.com/rain/a/20251115A02F1A00","https://new.qq.com/rain/a/20251115A02F1A00")</f>
        <v>https://new.qq.com/rain/a/20251115A02F1A00</v>
      </c>
      <c r="I251" s="3" t="s">
        <v>433</v>
      </c>
      <c r="J251" t="s">
        <v>16</v>
      </c>
    </row>
    <row r="252" ht="23" customHeight="1" spans="1:10">
      <c r="A252" s="2">
        <v>251</v>
      </c>
      <c r="B252" s="3" t="s">
        <v>430</v>
      </c>
      <c r="C252" s="2" t="s">
        <v>431</v>
      </c>
      <c r="D252" s="2" t="s">
        <v>34</v>
      </c>
      <c r="E252" s="2" t="s">
        <v>432</v>
      </c>
      <c r="F252" s="2" t="s">
        <v>13</v>
      </c>
      <c r="G252" s="2" t="s">
        <v>21</v>
      </c>
      <c r="H252" s="4" t="str">
        <f>HYPERLINK("https://kandianshare.html5.qq.com/v2/news/1561943118084432194","https://kandianshare.html5.qq.com/v2/news/1561943118084432194")</f>
        <v>https://kandianshare.html5.qq.com/v2/news/1561943118084432194</v>
      </c>
      <c r="I252" s="3" t="s">
        <v>433</v>
      </c>
      <c r="J252" t="s">
        <v>16</v>
      </c>
    </row>
    <row r="253" ht="23" customHeight="1" spans="1:10">
      <c r="A253" s="2">
        <v>252</v>
      </c>
      <c r="B253" s="3" t="s">
        <v>434</v>
      </c>
      <c r="C253" s="2" t="s">
        <v>435</v>
      </c>
      <c r="D253" s="2" t="s">
        <v>436</v>
      </c>
      <c r="E253" s="2" t="s">
        <v>436</v>
      </c>
      <c r="F253" s="2" t="s">
        <v>13</v>
      </c>
      <c r="G253" s="2" t="s">
        <v>26</v>
      </c>
      <c r="H253" s="4" t="str">
        <f>HYPERLINK("https://www.csjcs.com/news/show/11fda989f2d1724b.html","https://www.csjcs.com/news/show/11fda989f2d1724b.html")</f>
        <v>https://www.csjcs.com/news/show/11fda989f2d1724b.html</v>
      </c>
      <c r="I253" s="3" t="s">
        <v>437</v>
      </c>
      <c r="J253" t="s">
        <v>16</v>
      </c>
    </row>
    <row r="254" ht="23" customHeight="1" spans="1:10">
      <c r="A254" s="2">
        <v>253</v>
      </c>
      <c r="B254" s="3" t="s">
        <v>438</v>
      </c>
      <c r="C254" s="2" t="s">
        <v>439</v>
      </c>
      <c r="D254" s="2" t="s">
        <v>440</v>
      </c>
      <c r="E254" s="2" t="s">
        <v>440</v>
      </c>
      <c r="F254" s="2" t="s">
        <v>13</v>
      </c>
      <c r="G254" s="2" t="s">
        <v>441</v>
      </c>
      <c r="H254" s="4" t="str">
        <f>HYPERLINK("https://hot.online.sh.cn/content/2025-11/15/content_10398081.htm","https://hot.online.sh.cn/content/2025-11/15/content_10398081.htm")</f>
        <v>https://hot.online.sh.cn/content/2025-11/15/content_10398081.htm</v>
      </c>
      <c r="I254" s="3" t="s">
        <v>442</v>
      </c>
      <c r="J254" t="s">
        <v>16</v>
      </c>
    </row>
    <row r="255" ht="23" customHeight="1" spans="1:10">
      <c r="A255" s="2">
        <v>254</v>
      </c>
      <c r="B255" s="3" t="s">
        <v>434</v>
      </c>
      <c r="C255" s="2" t="s">
        <v>443</v>
      </c>
      <c r="D255" s="2" t="s">
        <v>262</v>
      </c>
      <c r="E255" s="2" t="s">
        <v>262</v>
      </c>
      <c r="F255" s="2" t="s">
        <v>13</v>
      </c>
      <c r="G255" s="2" t="s">
        <v>21</v>
      </c>
      <c r="H255" s="4" t="str">
        <f>HYPERLINK("https://www.shanghai.gov.cn/nw15343/20251114/21a58a665bbb48b69f11dd860d6ce978.html","https://www.shanghai.gov.cn/nw15343/20251114/21a58a665bbb48b69f11dd860d6ce978.html")</f>
        <v>https://www.shanghai.gov.cn/nw15343/20251114/21a58a665bbb48b69f11dd860d6ce978.html</v>
      </c>
      <c r="I255" s="3" t="s">
        <v>437</v>
      </c>
      <c r="J255" t="s">
        <v>16</v>
      </c>
    </row>
    <row r="256" ht="23" customHeight="1" spans="1:10">
      <c r="A256" s="2">
        <v>255</v>
      </c>
      <c r="B256" s="3" t="s">
        <v>444</v>
      </c>
      <c r="C256" s="2" t="s">
        <v>445</v>
      </c>
      <c r="D256" s="2" t="s">
        <v>11</v>
      </c>
      <c r="E256" s="2" t="s">
        <v>87</v>
      </c>
      <c r="F256" s="2" t="s">
        <v>13</v>
      </c>
      <c r="G256" s="2" t="s">
        <v>26</v>
      </c>
      <c r="H256" s="4" t="str">
        <f>HYPERLINK("https://www.toutiao.com/article/7572187411838206479/","https://www.toutiao.com/article/7572187411838206479/")</f>
        <v>https://www.toutiao.com/article/7572187411838206479/</v>
      </c>
      <c r="I256" s="3" t="s">
        <v>446</v>
      </c>
      <c r="J256" t="s">
        <v>16</v>
      </c>
    </row>
    <row r="257" ht="23" customHeight="1" spans="1:10">
      <c r="A257" s="2">
        <v>256</v>
      </c>
      <c r="B257" s="3" t="s">
        <v>444</v>
      </c>
      <c r="C257" s="2" t="s">
        <v>447</v>
      </c>
      <c r="D257" s="2" t="s">
        <v>19</v>
      </c>
      <c r="E257" s="2" t="s">
        <v>108</v>
      </c>
      <c r="F257" s="2" t="s">
        <v>13</v>
      </c>
      <c r="G257" s="2" t="s">
        <v>14</v>
      </c>
      <c r="H257" s="4" t="str">
        <f>HYPERLINK("https://c.m.163.com/news/a/KE97AB9S0530QRMB.html","https://c.m.163.com/news/a/KE97AB9S0530QRMB.html")</f>
        <v>https://c.m.163.com/news/a/KE97AB9S0530QRMB.html</v>
      </c>
      <c r="I257" s="3" t="s">
        <v>446</v>
      </c>
      <c r="J257" t="s">
        <v>16</v>
      </c>
    </row>
    <row r="258" ht="23" customHeight="1" spans="1:10">
      <c r="A258" s="2">
        <v>257</v>
      </c>
      <c r="B258" s="3" t="s">
        <v>444</v>
      </c>
      <c r="C258" s="2" t="s">
        <v>448</v>
      </c>
      <c r="D258" s="2" t="s">
        <v>107</v>
      </c>
      <c r="E258" s="2" t="s">
        <v>108</v>
      </c>
      <c r="F258" s="2" t="s">
        <v>13</v>
      </c>
      <c r="G258" s="2" t="s">
        <v>14</v>
      </c>
      <c r="H258" s="4" t="str">
        <f>HYPERLINK("https://k.sina.cn/article_7517400647_1c0126e4705907s7h4.html","https://k.sina.cn/article_7517400647_1c0126e4705907s7h4.html")</f>
        <v>https://k.sina.cn/article_7517400647_1c0126e4705907s7h4.html</v>
      </c>
      <c r="I258" s="3" t="s">
        <v>446</v>
      </c>
      <c r="J258" t="s">
        <v>16</v>
      </c>
    </row>
    <row r="259" ht="23" customHeight="1" spans="1:10">
      <c r="A259" s="2">
        <v>258</v>
      </c>
      <c r="B259" s="3" t="s">
        <v>444</v>
      </c>
      <c r="C259" s="2" t="s">
        <v>448</v>
      </c>
      <c r="D259" s="2" t="s">
        <v>286</v>
      </c>
      <c r="E259" s="2" t="s">
        <v>108</v>
      </c>
      <c r="F259" s="2" t="s">
        <v>13</v>
      </c>
      <c r="G259" s="2" t="s">
        <v>14</v>
      </c>
      <c r="H259" s="4" t="str">
        <f>HYPERLINK("https://www.360kuai.com/9f1b8357ce506f754","https://www.360kuai.com/9f1b8357ce506f754")</f>
        <v>https://www.360kuai.com/9f1b8357ce506f754</v>
      </c>
      <c r="I259" s="3" t="s">
        <v>446</v>
      </c>
      <c r="J259" t="s">
        <v>16</v>
      </c>
    </row>
    <row r="260" ht="23" customHeight="1" spans="1:10">
      <c r="A260" s="2">
        <v>259</v>
      </c>
      <c r="B260" s="3" t="s">
        <v>444</v>
      </c>
      <c r="C260" s="2" t="s">
        <v>448</v>
      </c>
      <c r="D260" s="2" t="s">
        <v>107</v>
      </c>
      <c r="E260" s="2" t="s">
        <v>87</v>
      </c>
      <c r="F260" s="2" t="s">
        <v>13</v>
      </c>
      <c r="G260" s="2" t="s">
        <v>26</v>
      </c>
      <c r="H260" s="4" t="str">
        <f>HYPERLINK("https://k.sina.cn/article_6824573189_196c6b90502002g1di.html","https://k.sina.cn/article_6824573189_196c6b90502002g1di.html")</f>
        <v>https://k.sina.cn/article_6824573189_196c6b90502002g1di.html</v>
      </c>
      <c r="I260" s="3" t="s">
        <v>446</v>
      </c>
      <c r="J260" t="s">
        <v>16</v>
      </c>
    </row>
    <row r="261" ht="23" customHeight="1" spans="1:10">
      <c r="A261" s="2">
        <v>260</v>
      </c>
      <c r="B261" s="3" t="s">
        <v>449</v>
      </c>
      <c r="C261" s="2" t="s">
        <v>448</v>
      </c>
      <c r="D261" s="2" t="s">
        <v>450</v>
      </c>
      <c r="E261" s="2" t="s">
        <v>108</v>
      </c>
      <c r="F261" s="2" t="s">
        <v>37</v>
      </c>
      <c r="G261" s="2" t="s">
        <v>14</v>
      </c>
      <c r="H261" s="4" t="str">
        <f>HYPERLINK("http://m.uczzd.cn/ucnews/news?aid=18088673820490522216","http://m.uczzd.cn/ucnews/news?aid=18088673820490522216")</f>
        <v>http://m.uczzd.cn/ucnews/news?aid=18088673820490522216</v>
      </c>
      <c r="I261" s="3" t="s">
        <v>451</v>
      </c>
      <c r="J261" t="s">
        <v>16</v>
      </c>
    </row>
    <row r="262" ht="23" customHeight="1" spans="1:10">
      <c r="A262" s="2">
        <v>261</v>
      </c>
      <c r="B262" s="3" t="s">
        <v>444</v>
      </c>
      <c r="C262" s="2" t="s">
        <v>452</v>
      </c>
      <c r="D262" s="2" t="s">
        <v>41</v>
      </c>
      <c r="E262" s="2" t="s">
        <v>108</v>
      </c>
      <c r="F262" s="2" t="s">
        <v>13</v>
      </c>
      <c r="G262" s="2" t="s">
        <v>14</v>
      </c>
      <c r="H262" s="4" t="str">
        <f>HYPERLINK("https://mbd.baidu.com/newspage/data/landingshare?nid=news_9912802532272226486","https://mbd.baidu.com/newspage/data/landingshare?nid=news_9912802532272226486")</f>
        <v>https://mbd.baidu.com/newspage/data/landingshare?nid=news_9912802532272226486</v>
      </c>
      <c r="I262" s="3" t="s">
        <v>446</v>
      </c>
      <c r="J262" t="s">
        <v>16</v>
      </c>
    </row>
    <row r="263" ht="23" customHeight="1" spans="1:10">
      <c r="A263" s="2">
        <v>262</v>
      </c>
      <c r="B263" s="3" t="s">
        <v>444</v>
      </c>
      <c r="C263" s="2" t="s">
        <v>452</v>
      </c>
      <c r="D263" s="2" t="s">
        <v>40</v>
      </c>
      <c r="E263" s="2" t="s">
        <v>108</v>
      </c>
      <c r="F263" s="2" t="s">
        <v>13</v>
      </c>
      <c r="G263" s="2" t="s">
        <v>14</v>
      </c>
      <c r="H263" s="4" t="str">
        <f>HYPERLINK("https://www.yoojia.com/article/9912802532272226486.html","https://www.yoojia.com/article/9912802532272226486.html")</f>
        <v>https://www.yoojia.com/article/9912802532272226486.html</v>
      </c>
      <c r="I263" s="3" t="s">
        <v>446</v>
      </c>
      <c r="J263" t="s">
        <v>16</v>
      </c>
    </row>
    <row r="264" ht="23" customHeight="1" spans="1:10">
      <c r="A264" s="2">
        <v>263</v>
      </c>
      <c r="B264" s="3" t="s">
        <v>444</v>
      </c>
      <c r="C264" s="2" t="s">
        <v>452</v>
      </c>
      <c r="D264" s="2" t="s">
        <v>41</v>
      </c>
      <c r="E264" s="2" t="s">
        <v>87</v>
      </c>
      <c r="F264" s="2" t="s">
        <v>13</v>
      </c>
      <c r="G264" s="2" t="s">
        <v>26</v>
      </c>
      <c r="H264" s="4" t="str">
        <f>HYPERLINK("https://mbd.baidu.com/newspage/data/landingshare?nid=news_10503871563800245296","https://mbd.baidu.com/newspage/data/landingshare?nid=news_10503871563800245296")</f>
        <v>https://mbd.baidu.com/newspage/data/landingshare?nid=news_10503871563800245296</v>
      </c>
      <c r="I264" s="3" t="s">
        <v>446</v>
      </c>
      <c r="J264" t="s">
        <v>16</v>
      </c>
    </row>
    <row r="265" ht="23" customHeight="1" spans="1:10">
      <c r="A265" s="2">
        <v>264</v>
      </c>
      <c r="B265" s="3" t="s">
        <v>444</v>
      </c>
      <c r="C265" s="2" t="s">
        <v>452</v>
      </c>
      <c r="D265" s="2" t="s">
        <v>95</v>
      </c>
      <c r="E265" s="2" t="s">
        <v>95</v>
      </c>
      <c r="F265" s="2" t="s">
        <v>13</v>
      </c>
      <c r="G265" s="2" t="s">
        <v>14</v>
      </c>
      <c r="H265" s="4" t="str">
        <f>HYPERLINK("http://sh.people.com.cn/n2/2025/1113/c134768-41410898.html","http://sh.people.com.cn/n2/2025/1113/c134768-41410898.html")</f>
        <v>http://sh.people.com.cn/n2/2025/1113/c134768-41410898.html</v>
      </c>
      <c r="I265" s="3" t="s">
        <v>446</v>
      </c>
      <c r="J265" t="s">
        <v>16</v>
      </c>
    </row>
    <row r="266" ht="23" customHeight="1" spans="1:10">
      <c r="A266" s="2">
        <v>265</v>
      </c>
      <c r="B266" s="3" t="s">
        <v>444</v>
      </c>
      <c r="C266" s="2" t="s">
        <v>452</v>
      </c>
      <c r="D266" s="2" t="s">
        <v>95</v>
      </c>
      <c r="E266" s="2" t="s">
        <v>95</v>
      </c>
      <c r="F266" s="2" t="s">
        <v>13</v>
      </c>
      <c r="G266" s="2" t="s">
        <v>14</v>
      </c>
      <c r="H266" s="4" t="str">
        <f>HYPERLINK("http://sh.people.com.cn/BIG5/n2/2025/1113/c134768-41410898.html","http://sh.people.com.cn/BIG5/n2/2025/1113/c134768-41410898.html")</f>
        <v>http://sh.people.com.cn/BIG5/n2/2025/1113/c134768-41410898.html</v>
      </c>
      <c r="I266" s="3" t="s">
        <v>453</v>
      </c>
      <c r="J266" t="s">
        <v>16</v>
      </c>
    </row>
    <row r="267" ht="23" customHeight="1" spans="1:10">
      <c r="A267" s="2">
        <v>266</v>
      </c>
      <c r="B267" s="3" t="s">
        <v>454</v>
      </c>
      <c r="C267" s="2" t="s">
        <v>455</v>
      </c>
      <c r="D267" s="2" t="s">
        <v>456</v>
      </c>
      <c r="E267" s="2" t="s">
        <v>456</v>
      </c>
      <c r="F267" s="2" t="s">
        <v>37</v>
      </c>
      <c r="G267" s="2" t="s">
        <v>14</v>
      </c>
      <c r="H267" s="4" t="str">
        <f>HYPERLINK("http://www.ifnews.com/h5/news.html?aid=780065","http://www.ifnews.com/h5/news.html?aid=780065")</f>
        <v>http://www.ifnews.com/h5/news.html?aid=780065</v>
      </c>
      <c r="I267" s="3" t="s">
        <v>457</v>
      </c>
      <c r="J267" t="s">
        <v>16</v>
      </c>
    </row>
    <row r="268" ht="23" customHeight="1" spans="1:10">
      <c r="A268" s="2">
        <v>267</v>
      </c>
      <c r="B268" s="3" t="s">
        <v>454</v>
      </c>
      <c r="C268" s="2" t="s">
        <v>458</v>
      </c>
      <c r="D268" s="2" t="s">
        <v>456</v>
      </c>
      <c r="E268" s="2" t="s">
        <v>459</v>
      </c>
      <c r="F268" s="2" t="s">
        <v>13</v>
      </c>
      <c r="G268" s="2" t="s">
        <v>14</v>
      </c>
      <c r="H268" s="4" t="str">
        <f>HYPERLINK("http://www.ifnews.com/news.html?aid=780065","http://www.ifnews.com/news.html?aid=780065")</f>
        <v>http://www.ifnews.com/news.html?aid=780065</v>
      </c>
      <c r="I268" s="3" t="s">
        <v>457</v>
      </c>
      <c r="J268" t="s">
        <v>16</v>
      </c>
    </row>
    <row r="269" ht="23" customHeight="1" spans="1:10">
      <c r="A269" s="2">
        <v>268</v>
      </c>
      <c r="B269" s="3" t="s">
        <v>460</v>
      </c>
      <c r="C269" s="2" t="s">
        <v>461</v>
      </c>
      <c r="D269" s="2" t="s">
        <v>262</v>
      </c>
      <c r="E269" s="2" t="s">
        <v>262</v>
      </c>
      <c r="F269" s="2" t="s">
        <v>13</v>
      </c>
      <c r="G269" s="2" t="s">
        <v>21</v>
      </c>
      <c r="H269" s="4" t="str">
        <f>HYPERLINK("https://www.shanghai.gov.cn/nw9822/20251113/48e3753233b247d98d4b9f1afcc5b6e8.html","https://www.shanghai.gov.cn/nw9822/20251113/48e3753233b247d98d4b9f1afcc5b6e8.html")</f>
        <v>https://www.shanghai.gov.cn/nw9822/20251113/48e3753233b247d98d4b9f1afcc5b6e8.html</v>
      </c>
      <c r="I269" s="3" t="s">
        <v>462</v>
      </c>
      <c r="J269" t="s">
        <v>16</v>
      </c>
    </row>
    <row r="270" ht="23" customHeight="1" spans="1:10">
      <c r="A270" s="2">
        <v>269</v>
      </c>
      <c r="B270" s="3" t="s">
        <v>460</v>
      </c>
      <c r="C270" s="2" t="s">
        <v>463</v>
      </c>
      <c r="D270" s="2" t="s">
        <v>262</v>
      </c>
      <c r="E270" s="2" t="s">
        <v>262</v>
      </c>
      <c r="F270" s="2" t="s">
        <v>13</v>
      </c>
      <c r="G270" s="2" t="s">
        <v>21</v>
      </c>
      <c r="H270" s="4" t="str">
        <f>HYPERLINK("https://www.shanghai.gov.cn/nw12344/20251113/4bedba28b9a34fd3bb44ef1252a9faed.html","https://www.shanghai.gov.cn/nw12344/20251113/4bedba28b9a34fd3bb44ef1252a9faed.html")</f>
        <v>https://www.shanghai.gov.cn/nw12344/20251113/4bedba28b9a34fd3bb44ef1252a9faed.html</v>
      </c>
      <c r="I270" s="3" t="s">
        <v>462</v>
      </c>
      <c r="J270" t="s">
        <v>16</v>
      </c>
    </row>
    <row r="271" ht="23" customHeight="1" spans="1:10">
      <c r="A271" s="2">
        <v>270</v>
      </c>
      <c r="B271" s="3" t="s">
        <v>464</v>
      </c>
      <c r="C271" s="2" t="s">
        <v>465</v>
      </c>
      <c r="D271" s="2" t="s">
        <v>428</v>
      </c>
      <c r="E271" s="2" t="s">
        <v>466</v>
      </c>
      <c r="F271" s="2" t="s">
        <v>13</v>
      </c>
      <c r="G271" s="2" t="s">
        <v>14</v>
      </c>
      <c r="H271" s="4" t="str">
        <f>HYPERLINK("https://article.xuexi.cn/articles/index.html?art_id=10370395405781156165&amp;cdn=https://region-shanghai-resource","https://article.xuexi.cn/articles/index.html?art_id=10370395405781156165&amp;cdn=https://region-shanghai-resource")</f>
        <v>https://article.xuexi.cn/articles/index.html?art_id=10370395405781156165&amp;cdn=https://region-shanghai-resource</v>
      </c>
      <c r="I271" s="3" t="s">
        <v>467</v>
      </c>
      <c r="J271" t="s">
        <v>16</v>
      </c>
    </row>
    <row r="272" ht="23" customHeight="1" spans="1:10">
      <c r="A272" s="2">
        <v>271</v>
      </c>
      <c r="B272" s="3" t="s">
        <v>468</v>
      </c>
      <c r="C272" s="2" t="s">
        <v>469</v>
      </c>
      <c r="D272" s="2" t="s">
        <v>19</v>
      </c>
      <c r="E272" s="2" t="s">
        <v>20</v>
      </c>
      <c r="F272" s="2" t="s">
        <v>13</v>
      </c>
      <c r="G272" s="2" t="s">
        <v>21</v>
      </c>
      <c r="H272" s="4" t="str">
        <f>HYPERLINK("https://c.m.163.com/news/a/KE8L2B8C055040N3.html","https://c.m.163.com/news/a/KE8L2B8C055040N3.html")</f>
        <v>https://c.m.163.com/news/a/KE8L2B8C055040N3.html</v>
      </c>
      <c r="I272" s="3" t="s">
        <v>470</v>
      </c>
      <c r="J272" t="s">
        <v>16</v>
      </c>
    </row>
    <row r="273" ht="23" customHeight="1" spans="1:10">
      <c r="A273" s="2">
        <v>272</v>
      </c>
      <c r="B273" s="3" t="s">
        <v>468</v>
      </c>
      <c r="C273" s="2" t="s">
        <v>471</v>
      </c>
      <c r="D273" s="2" t="s">
        <v>35</v>
      </c>
      <c r="E273" s="2" t="s">
        <v>20</v>
      </c>
      <c r="F273" s="2" t="s">
        <v>13</v>
      </c>
      <c r="G273" s="2" t="s">
        <v>21</v>
      </c>
      <c r="H273" s="4" t="str">
        <f>HYPERLINK("https://new.qq.com/rain/a/20251113A03UGU00","https://new.qq.com/rain/a/20251113A03UGU00")</f>
        <v>https://new.qq.com/rain/a/20251113A03UGU00</v>
      </c>
      <c r="I273" s="3" t="s">
        <v>470</v>
      </c>
      <c r="J273" t="s">
        <v>16</v>
      </c>
    </row>
    <row r="274" ht="23" customHeight="1" spans="1:10">
      <c r="A274" s="2">
        <v>273</v>
      </c>
      <c r="B274" s="3" t="s">
        <v>468</v>
      </c>
      <c r="C274" s="2" t="s">
        <v>471</v>
      </c>
      <c r="D274" s="2" t="s">
        <v>34</v>
      </c>
      <c r="E274" s="2" t="s">
        <v>20</v>
      </c>
      <c r="F274" s="2" t="s">
        <v>13</v>
      </c>
      <c r="G274" s="2" t="s">
        <v>21</v>
      </c>
      <c r="H274" s="4" t="str">
        <f>HYPERLINK("https://kandianshare.html5.qq.com/v2/news/7479672696474014018","https://kandianshare.html5.qq.com/v2/news/7479672696474014018")</f>
        <v>https://kandianshare.html5.qq.com/v2/news/7479672696474014018</v>
      </c>
      <c r="I274" s="3" t="s">
        <v>470</v>
      </c>
      <c r="J274" t="s">
        <v>16</v>
      </c>
    </row>
    <row r="275" ht="23" customHeight="1" spans="1:10">
      <c r="A275" s="2">
        <v>274</v>
      </c>
      <c r="B275" s="3" t="s">
        <v>468</v>
      </c>
      <c r="C275" s="2" t="s">
        <v>472</v>
      </c>
      <c r="D275" s="2" t="s">
        <v>43</v>
      </c>
      <c r="E275" s="2" t="s">
        <v>473</v>
      </c>
      <c r="F275" s="2" t="s">
        <v>13</v>
      </c>
      <c r="G275" s="2" t="s">
        <v>21</v>
      </c>
      <c r="H275" s="4" t="str">
        <f>HYPERLINK("https://www.shobserver.com/staticsg/res/html/web/newsDetail.html?id=1017804","https://www.shobserver.com/staticsg/res/html/web/newsDetail.html?id=1017804")</f>
        <v>https://www.shobserver.com/staticsg/res/html/web/newsDetail.html?id=1017804</v>
      </c>
      <c r="I275" s="3" t="s">
        <v>470</v>
      </c>
      <c r="J275" t="s">
        <v>16</v>
      </c>
    </row>
    <row r="276" ht="23" customHeight="1" spans="1:10">
      <c r="A276" s="2">
        <v>275</v>
      </c>
      <c r="B276" s="3" t="s">
        <v>468</v>
      </c>
      <c r="C276" s="2" t="s">
        <v>474</v>
      </c>
      <c r="D276" s="2" t="s">
        <v>43</v>
      </c>
      <c r="E276" s="2" t="s">
        <v>43</v>
      </c>
      <c r="F276" s="2" t="s">
        <v>37</v>
      </c>
      <c r="G276" s="2" t="s">
        <v>21</v>
      </c>
      <c r="H276" s="4" t="str">
        <f>HYPERLINK("https://export.shobserver.com/baijiahao/html/1017804.html","https://export.shobserver.com/baijiahao/html/1017804.html")</f>
        <v>https://export.shobserver.com/baijiahao/html/1017804.html</v>
      </c>
      <c r="I276" s="3" t="s">
        <v>470</v>
      </c>
      <c r="J276" t="s">
        <v>16</v>
      </c>
    </row>
    <row r="277" ht="23" customHeight="1" spans="1:10">
      <c r="A277" s="2">
        <v>276</v>
      </c>
      <c r="B277" s="3" t="s">
        <v>468</v>
      </c>
      <c r="C277" s="2" t="s">
        <v>474</v>
      </c>
      <c r="D277" s="2" t="s">
        <v>41</v>
      </c>
      <c r="E277" s="2" t="s">
        <v>20</v>
      </c>
      <c r="F277" s="2" t="s">
        <v>13</v>
      </c>
      <c r="G277" s="2" t="s">
        <v>21</v>
      </c>
      <c r="H277" s="4" t="str">
        <f>HYPERLINK("https://mbd.baidu.com/newspage/data/landingshare?nid=news_9829827328930324729","https://mbd.baidu.com/newspage/data/landingshare?nid=news_9829827328930324729")</f>
        <v>https://mbd.baidu.com/newspage/data/landingshare?nid=news_9829827328930324729</v>
      </c>
      <c r="I277" s="3" t="s">
        <v>470</v>
      </c>
      <c r="J277" t="s">
        <v>16</v>
      </c>
    </row>
    <row r="278" ht="23" customHeight="1" spans="1:10">
      <c r="A278" s="2">
        <v>277</v>
      </c>
      <c r="B278" s="3" t="s">
        <v>468</v>
      </c>
      <c r="C278" s="2" t="s">
        <v>474</v>
      </c>
      <c r="D278" s="2" t="s">
        <v>40</v>
      </c>
      <c r="E278" s="2" t="s">
        <v>20</v>
      </c>
      <c r="F278" s="2" t="s">
        <v>13</v>
      </c>
      <c r="G278" s="2" t="s">
        <v>21</v>
      </c>
      <c r="H278" s="4" t="str">
        <f>HYPERLINK("https://www.yoojia.com/article/9829827328930324729.html","https://www.yoojia.com/article/9829827328930324729.html")</f>
        <v>https://www.yoojia.com/article/9829827328930324729.html</v>
      </c>
      <c r="I278" s="3" t="s">
        <v>470</v>
      </c>
      <c r="J278" t="s">
        <v>16</v>
      </c>
    </row>
    <row r="279" ht="23" customHeight="1" spans="1:10">
      <c r="A279" s="2">
        <v>278</v>
      </c>
      <c r="B279" s="3" t="s">
        <v>468</v>
      </c>
      <c r="C279" s="2" t="s">
        <v>474</v>
      </c>
      <c r="D279" s="2" t="s">
        <v>43</v>
      </c>
      <c r="E279" s="2" t="s">
        <v>473</v>
      </c>
      <c r="F279" s="2" t="s">
        <v>13</v>
      </c>
      <c r="G279" s="2" t="s">
        <v>21</v>
      </c>
      <c r="H279" s="4" t="str">
        <f>HYPERLINK("https://www.jfdaily.com/staticsg/res/html/web/newsDetail.html?id=1017804","https://www.jfdaily.com/staticsg/res/html/web/newsDetail.html?id=1017804")</f>
        <v>https://www.jfdaily.com/staticsg/res/html/web/newsDetail.html?id=1017804</v>
      </c>
      <c r="I279" s="3" t="s">
        <v>470</v>
      </c>
      <c r="J279" t="s">
        <v>16</v>
      </c>
    </row>
    <row r="280" ht="23" customHeight="1" spans="1:10">
      <c r="A280" s="2">
        <v>279</v>
      </c>
      <c r="B280" s="3" t="s">
        <v>475</v>
      </c>
      <c r="C280" s="2" t="s">
        <v>476</v>
      </c>
      <c r="D280" s="2" t="s">
        <v>477</v>
      </c>
      <c r="E280" s="2" t="s">
        <v>477</v>
      </c>
      <c r="F280" s="2" t="s">
        <v>13</v>
      </c>
      <c r="G280" s="2" t="s">
        <v>14</v>
      </c>
      <c r="H280" s="4" t="str">
        <f>HYPERLINK("http://union.china.com.cn/zhuanti/txt/2025-11/13/content_43274893.shtml","http://union.china.com.cn/zhuanti/txt/2025-11/13/content_43274893.shtml")</f>
        <v>http://union.china.com.cn/zhuanti/txt/2025-11/13/content_43274893.shtml</v>
      </c>
      <c r="I280" s="3" t="s">
        <v>478</v>
      </c>
      <c r="J280" t="s">
        <v>16</v>
      </c>
    </row>
    <row r="281" ht="23" customHeight="1" spans="1:10">
      <c r="A281" s="2">
        <v>280</v>
      </c>
      <c r="B281" s="3" t="s">
        <v>479</v>
      </c>
      <c r="C281" s="2" t="s">
        <v>480</v>
      </c>
      <c r="D281" s="2" t="s">
        <v>428</v>
      </c>
      <c r="E281" s="2" t="s">
        <v>428</v>
      </c>
      <c r="F281" s="2" t="s">
        <v>13</v>
      </c>
      <c r="G281" s="2" t="s">
        <v>14</v>
      </c>
      <c r="H281" s="4" t="str">
        <f>HYPERLINK("https://article.xuexi.cn/articles/index.html?art_id=7722864218796595947&amp;cdn=https://region-shanghai-resource","https://article.xuexi.cn/articles/index.html?art_id=7722864218796595947&amp;cdn=https://region-shanghai-resource")</f>
        <v>https://article.xuexi.cn/articles/index.html?art_id=7722864218796595947&amp;cdn=https://region-shanghai-resource</v>
      </c>
      <c r="I281" s="3" t="s">
        <v>481</v>
      </c>
      <c r="J281" t="s">
        <v>16</v>
      </c>
    </row>
    <row r="282" ht="23" customHeight="1" spans="1:10">
      <c r="A282" s="2">
        <v>281</v>
      </c>
      <c r="B282" s="3" t="s">
        <v>438</v>
      </c>
      <c r="C282" s="2" t="s">
        <v>482</v>
      </c>
      <c r="D282" s="2" t="s">
        <v>71</v>
      </c>
      <c r="E282" s="2" t="s">
        <v>71</v>
      </c>
      <c r="F282" s="2" t="s">
        <v>13</v>
      </c>
      <c r="G282" s="2" t="s">
        <v>21</v>
      </c>
      <c r="H282" s="4" t="str">
        <f>HYPERLINK("https://nw.eastday.com/zq/zh/20251113/04fe147359d2255791d90cd5252672e5.html","https://nw.eastday.com/zq/zh/20251113/04fe147359d2255791d90cd5252672e5.html")</f>
        <v>https://nw.eastday.com/zq/zh/20251113/04fe147359d2255791d90cd5252672e5.html</v>
      </c>
      <c r="I282" s="3" t="s">
        <v>442</v>
      </c>
      <c r="J282" t="s">
        <v>16</v>
      </c>
    </row>
    <row r="283" ht="23" customHeight="1" spans="1:10">
      <c r="A283" s="2">
        <v>282</v>
      </c>
      <c r="B283" s="3" t="s">
        <v>438</v>
      </c>
      <c r="C283" s="2" t="s">
        <v>483</v>
      </c>
      <c r="D283" s="2" t="s">
        <v>327</v>
      </c>
      <c r="E283" s="2" t="s">
        <v>369</v>
      </c>
      <c r="F283" s="2" t="s">
        <v>37</v>
      </c>
      <c r="G283" s="2" t="s">
        <v>26</v>
      </c>
      <c r="H283" s="4" t="str">
        <f>HYPERLINK("https://static.dingxinwen.com/dd-sharepage/detail/index.html?id=13267131","https://static.dingxinwen.com/dd-sharepage/detail/index.html?id=13267131")</f>
        <v>https://static.dingxinwen.com/dd-sharepage/detail/index.html?id=13267131</v>
      </c>
      <c r="I283" s="3" t="s">
        <v>442</v>
      </c>
      <c r="J283" t="s">
        <v>16</v>
      </c>
    </row>
    <row r="284" ht="23" customHeight="1" spans="1:10">
      <c r="A284" s="2">
        <v>283</v>
      </c>
      <c r="B284" s="3" t="s">
        <v>438</v>
      </c>
      <c r="C284" s="2" t="s">
        <v>484</v>
      </c>
      <c r="D284" s="2" t="s">
        <v>35</v>
      </c>
      <c r="E284" s="2" t="s">
        <v>81</v>
      </c>
      <c r="F284" s="2" t="s">
        <v>13</v>
      </c>
      <c r="G284" s="2" t="s">
        <v>21</v>
      </c>
      <c r="H284" s="4" t="str">
        <f>HYPERLINK("https://new.qq.com/rain/a/20251113A02CO400","https://new.qq.com/rain/a/20251113A02CO400")</f>
        <v>https://new.qq.com/rain/a/20251113A02CO400</v>
      </c>
      <c r="I284" s="3" t="s">
        <v>442</v>
      </c>
      <c r="J284" t="s">
        <v>16</v>
      </c>
    </row>
    <row r="285" ht="23" customHeight="1" spans="1:10">
      <c r="A285" s="2">
        <v>284</v>
      </c>
      <c r="B285" s="3" t="s">
        <v>438</v>
      </c>
      <c r="C285" s="2" t="s">
        <v>484</v>
      </c>
      <c r="D285" s="2" t="s">
        <v>34</v>
      </c>
      <c r="E285" s="2" t="s">
        <v>81</v>
      </c>
      <c r="F285" s="2" t="s">
        <v>13</v>
      </c>
      <c r="G285" s="2" t="s">
        <v>21</v>
      </c>
      <c r="H285" s="4" t="str">
        <f>HYPERLINK("https://kandianshare.html5.qq.com/v2/news/282920464022606146","https://kandianshare.html5.qq.com/v2/news/282920464022606146")</f>
        <v>https://kandianshare.html5.qq.com/v2/news/282920464022606146</v>
      </c>
      <c r="I285" s="3" t="s">
        <v>442</v>
      </c>
      <c r="J285" t="s">
        <v>16</v>
      </c>
    </row>
    <row r="286" ht="23" customHeight="1" spans="1:10">
      <c r="A286" s="2">
        <v>285</v>
      </c>
      <c r="B286" s="3" t="s">
        <v>438</v>
      </c>
      <c r="C286" s="2" t="s">
        <v>484</v>
      </c>
      <c r="D286" s="2" t="s">
        <v>19</v>
      </c>
      <c r="E286" s="2" t="s">
        <v>81</v>
      </c>
      <c r="F286" s="2" t="s">
        <v>13</v>
      </c>
      <c r="G286" s="2" t="s">
        <v>21</v>
      </c>
      <c r="H286" s="4" t="str">
        <f>HYPERLINK("https://c.m.163.com/news/a/KE87ISQS0514R9P4.html","https://c.m.163.com/news/a/KE87ISQS0514R9P4.html")</f>
        <v>https://c.m.163.com/news/a/KE87ISQS0514R9P4.html</v>
      </c>
      <c r="I286" s="3" t="s">
        <v>442</v>
      </c>
      <c r="J286" t="s">
        <v>16</v>
      </c>
    </row>
    <row r="287" ht="23" customHeight="1" spans="1:10">
      <c r="A287" s="2">
        <v>286</v>
      </c>
      <c r="B287" s="3" t="s">
        <v>438</v>
      </c>
      <c r="C287" s="2" t="s">
        <v>485</v>
      </c>
      <c r="D287" s="2" t="s">
        <v>29</v>
      </c>
      <c r="E287" s="2" t="s">
        <v>81</v>
      </c>
      <c r="F287" s="2" t="s">
        <v>13</v>
      </c>
      <c r="G287" s="2" t="s">
        <v>21</v>
      </c>
      <c r="H287" s="4" t="str">
        <f>HYPERLINK("https://finance.sina.cn/2025-11-13/detail-infxfnyc2693469.d.html","https://finance.sina.cn/2025-11-13/detail-infxfnyc2693469.d.html")</f>
        <v>https://finance.sina.cn/2025-11-13/detail-infxfnyc2693469.d.html</v>
      </c>
      <c r="I287" s="3" t="s">
        <v>442</v>
      </c>
      <c r="J287" t="s">
        <v>16</v>
      </c>
    </row>
    <row r="288" ht="23" customHeight="1" spans="1:10">
      <c r="A288" s="2">
        <v>287</v>
      </c>
      <c r="B288" s="3" t="s">
        <v>438</v>
      </c>
      <c r="C288" s="2" t="s">
        <v>485</v>
      </c>
      <c r="D288" s="2" t="s">
        <v>11</v>
      </c>
      <c r="E288" s="2" t="s">
        <v>81</v>
      </c>
      <c r="F288" s="2" t="s">
        <v>13</v>
      </c>
      <c r="G288" s="2" t="s">
        <v>21</v>
      </c>
      <c r="H288" s="4" t="str">
        <f>HYPERLINK("https://www.toutiao.com/article/7572042494213358131/","https://www.toutiao.com/article/7572042494213358131/")</f>
        <v>https://www.toutiao.com/article/7572042494213358131/</v>
      </c>
      <c r="I288" s="3" t="s">
        <v>442</v>
      </c>
      <c r="J288" t="s">
        <v>16</v>
      </c>
    </row>
    <row r="289" ht="23" customHeight="1" spans="1:10">
      <c r="A289" s="2">
        <v>288</v>
      </c>
      <c r="B289" s="3" t="s">
        <v>438</v>
      </c>
      <c r="C289" s="2" t="s">
        <v>485</v>
      </c>
      <c r="D289" s="2" t="s">
        <v>107</v>
      </c>
      <c r="E289" s="2" t="s">
        <v>81</v>
      </c>
      <c r="F289" s="2" t="s">
        <v>13</v>
      </c>
      <c r="G289" s="2" t="s">
        <v>21</v>
      </c>
      <c r="H289" s="4" t="str">
        <f>HYPERLINK("https://k.sina.cn/article_5044281310_12ca99fde02002g3f0.html","https://k.sina.cn/article_5044281310_12ca99fde02002g3f0.html")</f>
        <v>https://k.sina.cn/article_5044281310_12ca99fde02002g3f0.html</v>
      </c>
      <c r="I289" s="3" t="s">
        <v>442</v>
      </c>
      <c r="J289" t="s">
        <v>16</v>
      </c>
    </row>
    <row r="290" ht="23" customHeight="1" spans="1:10">
      <c r="A290" s="2">
        <v>289</v>
      </c>
      <c r="B290" s="3" t="s">
        <v>438</v>
      </c>
      <c r="C290" s="2" t="s">
        <v>486</v>
      </c>
      <c r="D290" s="2" t="s">
        <v>46</v>
      </c>
      <c r="E290" s="2" t="s">
        <v>81</v>
      </c>
      <c r="F290" s="2" t="s">
        <v>37</v>
      </c>
      <c r="G290" s="2" t="s">
        <v>21</v>
      </c>
      <c r="H290" s="4" t="str">
        <f>HYPERLINK("https://3g.k.sohu.com/t/n947292480?serialId=15ac607e558aed85dfe92aea4efb5b54&amp;showType=947292480","https://3g.k.sohu.com/t/n947292480?serialId=15ac607e558aed85dfe92aea4efb5b54&amp;showType=947292480")</f>
        <v>https://3g.k.sohu.com/t/n947292480?serialId=15ac607e558aed85dfe92aea4efb5b54&amp;showType=947292480</v>
      </c>
      <c r="I290" s="3" t="s">
        <v>442</v>
      </c>
      <c r="J290" t="s">
        <v>16</v>
      </c>
    </row>
    <row r="291" ht="23" customHeight="1" spans="1:10">
      <c r="A291" s="2">
        <v>290</v>
      </c>
      <c r="B291" s="3" t="s">
        <v>438</v>
      </c>
      <c r="C291" s="2" t="s">
        <v>486</v>
      </c>
      <c r="D291" s="2" t="s">
        <v>46</v>
      </c>
      <c r="E291" s="2" t="s">
        <v>81</v>
      </c>
      <c r="F291" s="2" t="s">
        <v>13</v>
      </c>
      <c r="G291" s="2" t="s">
        <v>21</v>
      </c>
      <c r="H291" s="4" t="str">
        <f>HYPERLINK("https://www.sohu.com/a/953836418_260616","https://www.sohu.com/a/953836418_260616")</f>
        <v>https://www.sohu.com/a/953836418_260616</v>
      </c>
      <c r="I291" s="3" t="s">
        <v>442</v>
      </c>
      <c r="J291" t="s">
        <v>16</v>
      </c>
    </row>
    <row r="292" ht="23" customHeight="1" spans="1:10">
      <c r="A292" s="2">
        <v>291</v>
      </c>
      <c r="B292" s="3" t="s">
        <v>487</v>
      </c>
      <c r="C292" s="2" t="s">
        <v>488</v>
      </c>
      <c r="D292" s="2" t="s">
        <v>450</v>
      </c>
      <c r="E292" s="2" t="s">
        <v>81</v>
      </c>
      <c r="F292" s="2" t="s">
        <v>37</v>
      </c>
      <c r="G292" s="2" t="s">
        <v>21</v>
      </c>
      <c r="H292" s="4" t="str">
        <f>HYPERLINK("http://m.uczzd.cn/ucnews/news?aid=17135003034622408579","http://m.uczzd.cn/ucnews/news?aid=17135003034622408579")</f>
        <v>http://m.uczzd.cn/ucnews/news?aid=17135003034622408579</v>
      </c>
      <c r="I292" s="3" t="s">
        <v>489</v>
      </c>
      <c r="J292" t="s">
        <v>16</v>
      </c>
    </row>
    <row r="293" ht="23" customHeight="1" spans="1:10">
      <c r="A293" s="2">
        <v>292</v>
      </c>
      <c r="B293" s="3" t="s">
        <v>438</v>
      </c>
      <c r="C293" s="2" t="s">
        <v>490</v>
      </c>
      <c r="D293" s="2" t="s">
        <v>40</v>
      </c>
      <c r="E293" s="2" t="s">
        <v>81</v>
      </c>
      <c r="F293" s="2" t="s">
        <v>13</v>
      </c>
      <c r="G293" s="2" t="s">
        <v>21</v>
      </c>
      <c r="H293" s="4" t="str">
        <f>HYPERLINK("https://www.yoojia.com/article/10436937285832638225.html","https://www.yoojia.com/article/10436937285832638225.html")</f>
        <v>https://www.yoojia.com/article/10436937285832638225.html</v>
      </c>
      <c r="I293" s="3" t="s">
        <v>442</v>
      </c>
      <c r="J293" t="s">
        <v>16</v>
      </c>
    </row>
    <row r="294" ht="23" customHeight="1" spans="1:10">
      <c r="A294" s="2">
        <v>293</v>
      </c>
      <c r="B294" s="3" t="s">
        <v>438</v>
      </c>
      <c r="C294" s="2" t="s">
        <v>490</v>
      </c>
      <c r="D294" s="2" t="s">
        <v>81</v>
      </c>
      <c r="E294" s="2" t="s">
        <v>81</v>
      </c>
      <c r="F294" s="2" t="s">
        <v>13</v>
      </c>
      <c r="G294" s="2" t="s">
        <v>21</v>
      </c>
      <c r="H294" s="4" t="str">
        <f>HYPERLINK("https://m.thepaper.cn/newsDetail_forward_31955803","https://m.thepaper.cn/newsDetail_forward_31955803")</f>
        <v>https://m.thepaper.cn/newsDetail_forward_31955803</v>
      </c>
      <c r="I294" s="3" t="s">
        <v>442</v>
      </c>
      <c r="J294" t="s">
        <v>16</v>
      </c>
    </row>
    <row r="295" ht="23" customHeight="1" spans="1:10">
      <c r="A295" s="2">
        <v>294</v>
      </c>
      <c r="B295" s="3" t="s">
        <v>438</v>
      </c>
      <c r="C295" s="2" t="s">
        <v>490</v>
      </c>
      <c r="D295" s="2" t="s">
        <v>41</v>
      </c>
      <c r="E295" s="2" t="s">
        <v>81</v>
      </c>
      <c r="F295" s="2" t="s">
        <v>13</v>
      </c>
      <c r="G295" s="2" t="s">
        <v>21</v>
      </c>
      <c r="H295" s="4" t="str">
        <f>HYPERLINK("https://mbd.baidu.com/newspage/data/landingshare?nid=news_10436937285832638225","https://mbd.baidu.com/newspage/data/landingshare?nid=news_10436937285832638225")</f>
        <v>https://mbd.baidu.com/newspage/data/landingshare?nid=news_10436937285832638225</v>
      </c>
      <c r="I295" s="3" t="s">
        <v>442</v>
      </c>
      <c r="J295" t="s">
        <v>16</v>
      </c>
    </row>
    <row r="296" ht="23" customHeight="1" spans="1:10">
      <c r="A296" s="2">
        <v>295</v>
      </c>
      <c r="B296" s="3" t="s">
        <v>438</v>
      </c>
      <c r="C296" s="2" t="s">
        <v>490</v>
      </c>
      <c r="D296" s="2" t="s">
        <v>46</v>
      </c>
      <c r="E296" s="2" t="s">
        <v>81</v>
      </c>
      <c r="F296" s="2" t="s">
        <v>37</v>
      </c>
      <c r="G296" s="2" t="s">
        <v>21</v>
      </c>
      <c r="H296" s="4" t="str">
        <f>HYPERLINK("https://3g.k.sohu.com/t/n947165131?serialId=fb04d111740a7553636c8c779edc4e1a&amp;showType=947165131","https://3g.k.sohu.com/t/n947165131?serialId=fb04d111740a7553636c8c779edc4e1a&amp;showType=947165131")</f>
        <v>https://3g.k.sohu.com/t/n947165131?serialId=fb04d111740a7553636c8c779edc4e1a&amp;showType=947165131</v>
      </c>
      <c r="I296" s="3" t="s">
        <v>442</v>
      </c>
      <c r="J296" t="s">
        <v>16</v>
      </c>
    </row>
    <row r="297" ht="23" customHeight="1" spans="1:10">
      <c r="A297" s="2">
        <v>296</v>
      </c>
      <c r="B297" s="3" t="s">
        <v>438</v>
      </c>
      <c r="C297" s="2" t="s">
        <v>490</v>
      </c>
      <c r="D297" s="2" t="s">
        <v>81</v>
      </c>
      <c r="E297" s="2" t="s">
        <v>81</v>
      </c>
      <c r="F297" s="2" t="s">
        <v>13</v>
      </c>
      <c r="G297" s="2" t="s">
        <v>21</v>
      </c>
      <c r="H297" s="4" t="str">
        <f>HYPERLINK("https://www.thepaper.cn/newsDetail_forward_31955803","https://www.thepaper.cn/newsDetail_forward_31955803")</f>
        <v>https://www.thepaper.cn/newsDetail_forward_31955803</v>
      </c>
      <c r="I297" s="3" t="s">
        <v>442</v>
      </c>
      <c r="J297" t="s">
        <v>16</v>
      </c>
    </row>
    <row r="298" ht="23" customHeight="1" spans="1:10">
      <c r="A298" s="2">
        <v>297</v>
      </c>
      <c r="B298" s="3" t="s">
        <v>438</v>
      </c>
      <c r="C298" s="2" t="s">
        <v>490</v>
      </c>
      <c r="D298" s="2" t="s">
        <v>491</v>
      </c>
      <c r="E298" s="2" t="s">
        <v>81</v>
      </c>
      <c r="F298" s="2" t="s">
        <v>13</v>
      </c>
      <c r="G298" s="2" t="s">
        <v>21</v>
      </c>
      <c r="H298" s="4" t="str">
        <f>HYPERLINK("https://ishare.ifeng.com/c/s/8oFCuwr7cJd","https://ishare.ifeng.com/c/s/8oFCuwr7cJd")</f>
        <v>https://ishare.ifeng.com/c/s/8oFCuwr7cJd</v>
      </c>
      <c r="I298" s="3" t="s">
        <v>442</v>
      </c>
      <c r="J298" t="s">
        <v>16</v>
      </c>
    </row>
    <row r="299" ht="23" customHeight="1" spans="1:10">
      <c r="A299" s="2">
        <v>298</v>
      </c>
      <c r="B299" s="3" t="s">
        <v>492</v>
      </c>
      <c r="C299" s="2" t="s">
        <v>493</v>
      </c>
      <c r="D299" s="2" t="s">
        <v>327</v>
      </c>
      <c r="E299" s="2" t="s">
        <v>328</v>
      </c>
      <c r="F299" s="2" t="s">
        <v>37</v>
      </c>
      <c r="G299" s="2" t="s">
        <v>21</v>
      </c>
      <c r="H299" s="4" t="str">
        <f>HYPERLINK("https://static.dingxinwen.com/dd-sharepage/detail/index.html?id=13266800","https://static.dingxinwen.com/dd-sharepage/detail/index.html?id=13266800")</f>
        <v>https://static.dingxinwen.com/dd-sharepage/detail/index.html?id=13266800</v>
      </c>
      <c r="I299" s="3" t="s">
        <v>481</v>
      </c>
      <c r="J299" t="s">
        <v>16</v>
      </c>
    </row>
    <row r="300" ht="23" customHeight="1" spans="1:10">
      <c r="A300" s="2">
        <v>299</v>
      </c>
      <c r="B300" s="3" t="s">
        <v>492</v>
      </c>
      <c r="C300" s="2" t="s">
        <v>494</v>
      </c>
      <c r="D300" s="2" t="s">
        <v>46</v>
      </c>
      <c r="E300" s="2" t="s">
        <v>328</v>
      </c>
      <c r="F300" s="2" t="s">
        <v>37</v>
      </c>
      <c r="G300" s="2" t="s">
        <v>21</v>
      </c>
      <c r="H300" s="4" t="str">
        <f>HYPERLINK("https://3g.k.sohu.com/t/n947268706?serialId=bdd080465854218d949b691eac856760&amp;showType=947268706","https://3g.k.sohu.com/t/n947268706?serialId=bdd080465854218d949b691eac856760&amp;showType=947268706")</f>
        <v>https://3g.k.sohu.com/t/n947268706?serialId=bdd080465854218d949b691eac856760&amp;showType=947268706</v>
      </c>
      <c r="I300" s="3" t="s">
        <v>495</v>
      </c>
      <c r="J300" t="s">
        <v>16</v>
      </c>
    </row>
    <row r="301" ht="23" customHeight="1" spans="1:10">
      <c r="A301" s="2">
        <v>300</v>
      </c>
      <c r="B301" s="3" t="s">
        <v>496</v>
      </c>
      <c r="C301" s="2" t="s">
        <v>497</v>
      </c>
      <c r="D301" s="2" t="s">
        <v>34</v>
      </c>
      <c r="E301" s="2" t="s">
        <v>328</v>
      </c>
      <c r="F301" s="2" t="s">
        <v>13</v>
      </c>
      <c r="G301" s="2" t="s">
        <v>21</v>
      </c>
      <c r="H301" s="4" t="str">
        <f>HYPERLINK("https://kandianshare.html5.qq.com/v2/news/6930233513193904450","https://kandianshare.html5.qq.com/v2/news/6930233513193904450")</f>
        <v>https://kandianshare.html5.qq.com/v2/news/6930233513193904450</v>
      </c>
      <c r="I301" s="3" t="s">
        <v>495</v>
      </c>
      <c r="J301" t="s">
        <v>16</v>
      </c>
    </row>
    <row r="302" ht="23" customHeight="1" spans="1:10">
      <c r="A302" s="2">
        <v>301</v>
      </c>
      <c r="B302" s="3" t="s">
        <v>496</v>
      </c>
      <c r="C302" s="2" t="s">
        <v>497</v>
      </c>
      <c r="D302" s="2" t="s">
        <v>35</v>
      </c>
      <c r="E302" s="2" t="s">
        <v>328</v>
      </c>
      <c r="F302" s="2" t="s">
        <v>13</v>
      </c>
      <c r="G302" s="2" t="s">
        <v>21</v>
      </c>
      <c r="H302" s="4" t="str">
        <f>HYPERLINK("https://new.qq.com/rain/a/20251113A027N800","https://new.qq.com/rain/a/20251113A027N800")</f>
        <v>https://new.qq.com/rain/a/20251113A027N800</v>
      </c>
      <c r="I302" s="3" t="s">
        <v>495</v>
      </c>
      <c r="J302" t="s">
        <v>16</v>
      </c>
    </row>
    <row r="303" ht="23" customHeight="1" spans="1:10">
      <c r="A303" s="2">
        <v>302</v>
      </c>
      <c r="B303" s="3" t="s">
        <v>498</v>
      </c>
      <c r="C303" s="2" t="s">
        <v>499</v>
      </c>
      <c r="D303" s="2" t="s">
        <v>353</v>
      </c>
      <c r="E303" s="2" t="s">
        <v>328</v>
      </c>
      <c r="F303" s="2" t="s">
        <v>354</v>
      </c>
      <c r="G303" s="2" t="s">
        <v>21</v>
      </c>
      <c r="H303" s="4" t="str">
        <f>HYPERLINK("https://weibo.com/2539961154/QdCMk47Is","https://weibo.com/2539961154/QdCMk47Is")</f>
        <v>https://weibo.com/2539961154/QdCMk47Is</v>
      </c>
      <c r="I303" s="3" t="s">
        <v>500</v>
      </c>
      <c r="J303" t="s">
        <v>16</v>
      </c>
    </row>
    <row r="304" ht="23" customHeight="1" spans="1:10">
      <c r="A304" s="2">
        <v>303</v>
      </c>
      <c r="B304" s="3" t="s">
        <v>492</v>
      </c>
      <c r="C304" s="2" t="s">
        <v>501</v>
      </c>
      <c r="D304" s="2" t="s">
        <v>11</v>
      </c>
      <c r="E304" s="2" t="s">
        <v>328</v>
      </c>
      <c r="F304" s="2" t="s">
        <v>13</v>
      </c>
      <c r="G304" s="2" t="s">
        <v>21</v>
      </c>
      <c r="H304" s="4" t="str">
        <f>HYPERLINK("https://www.toutiao.com/article/7572035283894501922/","https://www.toutiao.com/article/7572035283894501922/")</f>
        <v>https://www.toutiao.com/article/7572035283894501922/</v>
      </c>
      <c r="I304" s="3" t="s">
        <v>481</v>
      </c>
      <c r="J304" t="s">
        <v>16</v>
      </c>
    </row>
    <row r="305" ht="23" customHeight="1" spans="1:10">
      <c r="A305" s="2">
        <v>304</v>
      </c>
      <c r="B305" s="3" t="s">
        <v>492</v>
      </c>
      <c r="C305" s="2" t="s">
        <v>502</v>
      </c>
      <c r="D305" s="2" t="s">
        <v>91</v>
      </c>
      <c r="E305" s="2" t="s">
        <v>328</v>
      </c>
      <c r="F305" s="2" t="s">
        <v>91</v>
      </c>
      <c r="G305" s="2" t="s">
        <v>21</v>
      </c>
      <c r="H305" s="4" t="str">
        <f>HYPERLINK("http://mp.weixin.qq.com/s?__biz=MjM5NTA5NzYyMA==&amp;mid=2655371419&amp;idx=1&amp;sn=f371416f27033ba9903bca9d8531a39e","http://mp.weixin.qq.com/s?__biz=MjM5NTA5NzYyMA==&amp;mid=2655371419&amp;idx=1&amp;sn=f371416f27033ba9903bca9d8531a39e")</f>
        <v>http://mp.weixin.qq.com/s?__biz=MjM5NTA5NzYyMA==&amp;mid=2655371419&amp;idx=1&amp;sn=f371416f27033ba9903bca9d8531a39e</v>
      </c>
      <c r="I305" s="3" t="s">
        <v>481</v>
      </c>
      <c r="J305" t="s">
        <v>16</v>
      </c>
    </row>
    <row r="306" ht="23" customHeight="1" spans="1:10">
      <c r="A306" s="2">
        <v>305</v>
      </c>
      <c r="B306" s="3" t="s">
        <v>503</v>
      </c>
      <c r="C306" s="2" t="s">
        <v>504</v>
      </c>
      <c r="D306" s="2" t="s">
        <v>11</v>
      </c>
      <c r="E306" s="2" t="s">
        <v>126</v>
      </c>
      <c r="F306" s="2" t="s">
        <v>13</v>
      </c>
      <c r="G306" s="2" t="s">
        <v>21</v>
      </c>
      <c r="H306" s="4" t="str">
        <f>HYPERLINK("https://www.toutiao.com/article/7571809326730347049/","https://www.toutiao.com/article/7571809326730347049/")</f>
        <v>https://www.toutiao.com/article/7571809326730347049/</v>
      </c>
      <c r="I306" s="3" t="s">
        <v>467</v>
      </c>
      <c r="J306" t="s">
        <v>16</v>
      </c>
    </row>
    <row r="307" ht="23" customHeight="1" spans="1:10">
      <c r="A307" s="2">
        <v>306</v>
      </c>
      <c r="B307" s="3" t="s">
        <v>503</v>
      </c>
      <c r="C307" s="2" t="s">
        <v>505</v>
      </c>
      <c r="D307" s="2" t="s">
        <v>40</v>
      </c>
      <c r="E307" s="2" t="s">
        <v>126</v>
      </c>
      <c r="F307" s="2" t="s">
        <v>13</v>
      </c>
      <c r="G307" s="2" t="s">
        <v>21</v>
      </c>
      <c r="H307" s="4" t="str">
        <f>HYPERLINK("https://www.yoojia.com/article/10048979869204949848.html","https://www.yoojia.com/article/10048979869204949848.html")</f>
        <v>https://www.yoojia.com/article/10048979869204949848.html</v>
      </c>
      <c r="I307" s="3" t="s">
        <v>467</v>
      </c>
      <c r="J307" t="s">
        <v>16</v>
      </c>
    </row>
    <row r="308" ht="23" customHeight="1" spans="1:10">
      <c r="A308" s="2">
        <v>307</v>
      </c>
      <c r="B308" s="3" t="s">
        <v>503</v>
      </c>
      <c r="C308" s="2" t="s">
        <v>505</v>
      </c>
      <c r="D308" s="2" t="s">
        <v>41</v>
      </c>
      <c r="E308" s="2" t="s">
        <v>126</v>
      </c>
      <c r="F308" s="2" t="s">
        <v>13</v>
      </c>
      <c r="G308" s="2" t="s">
        <v>21</v>
      </c>
      <c r="H308" s="4" t="str">
        <f>HYPERLINK("https://mbd.baidu.com/newspage/data/landingshare?nid=news_10048979869204949848","https://mbd.baidu.com/newspage/data/landingshare?nid=news_10048979869204949848")</f>
        <v>https://mbd.baidu.com/newspage/data/landingshare?nid=news_10048979869204949848</v>
      </c>
      <c r="I308" s="3" t="s">
        <v>467</v>
      </c>
      <c r="J308" t="s">
        <v>16</v>
      </c>
    </row>
    <row r="309" ht="23" customHeight="1" spans="1:10">
      <c r="A309" s="2">
        <v>308</v>
      </c>
      <c r="B309" s="3" t="s">
        <v>503</v>
      </c>
      <c r="C309" s="2" t="s">
        <v>506</v>
      </c>
      <c r="D309" s="2" t="s">
        <v>40</v>
      </c>
      <c r="E309" s="2" t="s">
        <v>20</v>
      </c>
      <c r="F309" s="2" t="s">
        <v>13</v>
      </c>
      <c r="G309" s="2" t="s">
        <v>21</v>
      </c>
      <c r="H309" s="4" t="str">
        <f>HYPERLINK("https://www.yoojia.com/article/9859296349468669544.html","https://www.yoojia.com/article/9859296349468669544.html")</f>
        <v>https://www.yoojia.com/article/9859296349468669544.html</v>
      </c>
      <c r="I309" s="3" t="s">
        <v>467</v>
      </c>
      <c r="J309" t="s">
        <v>16</v>
      </c>
    </row>
    <row r="310" ht="23" customHeight="1" spans="1:10">
      <c r="A310" s="2">
        <v>309</v>
      </c>
      <c r="B310" s="3" t="s">
        <v>503</v>
      </c>
      <c r="C310" s="2" t="s">
        <v>506</v>
      </c>
      <c r="D310" s="2" t="s">
        <v>41</v>
      </c>
      <c r="E310" s="2" t="s">
        <v>20</v>
      </c>
      <c r="F310" s="2" t="s">
        <v>13</v>
      </c>
      <c r="G310" s="2" t="s">
        <v>21</v>
      </c>
      <c r="H310" s="4" t="str">
        <f>HYPERLINK("https://mbd.baidu.com/newspage/data/landingshare?nid=news_9859296349468669544","https://mbd.baidu.com/newspage/data/landingshare?nid=news_9859296349468669544")</f>
        <v>https://mbd.baidu.com/newspage/data/landingshare?nid=news_9859296349468669544</v>
      </c>
      <c r="I310" s="3" t="s">
        <v>467</v>
      </c>
      <c r="J310" t="s">
        <v>16</v>
      </c>
    </row>
    <row r="311" ht="23" customHeight="1" spans="1:10">
      <c r="A311" s="2">
        <v>310</v>
      </c>
      <c r="B311" s="3" t="s">
        <v>422</v>
      </c>
      <c r="C311" s="2" t="s">
        <v>507</v>
      </c>
      <c r="D311" s="2" t="s">
        <v>35</v>
      </c>
      <c r="E311" s="2" t="s">
        <v>508</v>
      </c>
      <c r="F311" s="2" t="s">
        <v>13</v>
      </c>
      <c r="G311" s="2" t="s">
        <v>14</v>
      </c>
      <c r="H311" s="4" t="str">
        <f>HYPERLINK("https://new.qq.com/rain/a/20251112A04N7P00","https://new.qq.com/rain/a/20251112A04N7P00")</f>
        <v>https://new.qq.com/rain/a/20251112A04N7P00</v>
      </c>
      <c r="I311" s="3" t="s">
        <v>425</v>
      </c>
      <c r="J311" t="s">
        <v>16</v>
      </c>
    </row>
    <row r="312" ht="23" customHeight="1" spans="1:10">
      <c r="A312" s="2">
        <v>311</v>
      </c>
      <c r="B312" s="3" t="s">
        <v>422</v>
      </c>
      <c r="C312" s="2" t="s">
        <v>507</v>
      </c>
      <c r="D312" s="2" t="s">
        <v>34</v>
      </c>
      <c r="E312" s="2" t="s">
        <v>508</v>
      </c>
      <c r="F312" s="2" t="s">
        <v>13</v>
      </c>
      <c r="G312" s="2" t="s">
        <v>14</v>
      </c>
      <c r="H312" s="4" t="str">
        <f>HYPERLINK("https://kandianshare.html5.qq.com/v2/news/8632594031144493378","https://kandianshare.html5.qq.com/v2/news/8632594031144493378")</f>
        <v>https://kandianshare.html5.qq.com/v2/news/8632594031144493378</v>
      </c>
      <c r="I312" s="3" t="s">
        <v>425</v>
      </c>
      <c r="J312" t="s">
        <v>16</v>
      </c>
    </row>
    <row r="313" ht="23" customHeight="1" spans="1:10">
      <c r="A313" s="2">
        <v>312</v>
      </c>
      <c r="B313" s="3" t="s">
        <v>422</v>
      </c>
      <c r="C313" s="2" t="s">
        <v>509</v>
      </c>
      <c r="D313" s="2" t="s">
        <v>46</v>
      </c>
      <c r="E313" s="2" t="s">
        <v>508</v>
      </c>
      <c r="F313" s="2" t="s">
        <v>37</v>
      </c>
      <c r="G313" s="2" t="s">
        <v>14</v>
      </c>
      <c r="H313" s="4" t="str">
        <f>HYPERLINK("https://3g.k.sohu.com/t/n947006659?serialId=d7518a53cce82e2201ef6e07bc3b33ec&amp;showType=947006659","https://3g.k.sohu.com/t/n947006659?serialId=d7518a53cce82e2201ef6e07bc3b33ec&amp;showType=947006659")</f>
        <v>https://3g.k.sohu.com/t/n947006659?serialId=d7518a53cce82e2201ef6e07bc3b33ec&amp;showType=947006659</v>
      </c>
      <c r="I313" s="3" t="s">
        <v>425</v>
      </c>
      <c r="J313" t="s">
        <v>16</v>
      </c>
    </row>
    <row r="314" ht="23" customHeight="1" spans="1:10">
      <c r="A314" s="2">
        <v>313</v>
      </c>
      <c r="B314" s="3" t="s">
        <v>422</v>
      </c>
      <c r="C314" s="2" t="s">
        <v>509</v>
      </c>
      <c r="D314" s="2" t="s">
        <v>46</v>
      </c>
      <c r="E314" s="2" t="s">
        <v>508</v>
      </c>
      <c r="F314" s="2" t="s">
        <v>13</v>
      </c>
      <c r="G314" s="2" t="s">
        <v>14</v>
      </c>
      <c r="H314" s="4" t="str">
        <f>HYPERLINK("https://www.sohu.com/a/953582090_121955537","https://www.sohu.com/a/953582090_121955537")</f>
        <v>https://www.sohu.com/a/953582090_121955537</v>
      </c>
      <c r="I314" s="3" t="s">
        <v>425</v>
      </c>
      <c r="J314" t="s">
        <v>16</v>
      </c>
    </row>
    <row r="315" ht="23" customHeight="1" spans="1:10">
      <c r="A315" s="2">
        <v>314</v>
      </c>
      <c r="B315" s="3" t="s">
        <v>422</v>
      </c>
      <c r="C315" s="2" t="s">
        <v>510</v>
      </c>
      <c r="D315" s="2" t="s">
        <v>508</v>
      </c>
      <c r="E315" s="2" t="s">
        <v>511</v>
      </c>
      <c r="F315" s="2" t="s">
        <v>13</v>
      </c>
      <c r="G315" s="2" t="s">
        <v>14</v>
      </c>
      <c r="H315" s="4" t="str">
        <f>HYPERLINK("https://cn.chinadaily.com.cn/a/202511/12/WS691434aea310942cc4991139.html","https://cn.chinadaily.com.cn/a/202511/12/WS691434aea310942cc4991139.html")</f>
        <v>https://cn.chinadaily.com.cn/a/202511/12/WS691434aea310942cc4991139.html</v>
      </c>
      <c r="I315" s="3" t="s">
        <v>425</v>
      </c>
      <c r="J315" t="s">
        <v>16</v>
      </c>
    </row>
    <row r="316" ht="23" customHeight="1" spans="1:10">
      <c r="A316" s="2">
        <v>315</v>
      </c>
      <c r="B316" s="3" t="s">
        <v>422</v>
      </c>
      <c r="C316" s="2" t="s">
        <v>512</v>
      </c>
      <c r="D316" s="2" t="s">
        <v>41</v>
      </c>
      <c r="E316" s="2" t="s">
        <v>508</v>
      </c>
      <c r="F316" s="2" t="s">
        <v>13</v>
      </c>
      <c r="G316" s="2" t="s">
        <v>14</v>
      </c>
      <c r="H316" s="4" t="str">
        <f>HYPERLINK("https://mbd.baidu.com/newspage/data/landingshare?nid=news_9123532910615541405","https://mbd.baidu.com/newspage/data/landingshare?nid=news_9123532910615541405")</f>
        <v>https://mbd.baidu.com/newspage/data/landingshare?nid=news_9123532910615541405</v>
      </c>
      <c r="I316" s="3" t="s">
        <v>425</v>
      </c>
      <c r="J316" t="s">
        <v>16</v>
      </c>
    </row>
    <row r="317" ht="23" customHeight="1" spans="1:10">
      <c r="A317" s="2">
        <v>316</v>
      </c>
      <c r="B317" s="3" t="s">
        <v>422</v>
      </c>
      <c r="C317" s="2" t="s">
        <v>512</v>
      </c>
      <c r="D317" s="2" t="s">
        <v>40</v>
      </c>
      <c r="E317" s="2" t="s">
        <v>508</v>
      </c>
      <c r="F317" s="2" t="s">
        <v>13</v>
      </c>
      <c r="G317" s="2" t="s">
        <v>14</v>
      </c>
      <c r="H317" s="4" t="str">
        <f>HYPERLINK("https://www.yoojia.com/article/9123532910615541405.html","https://www.yoojia.com/article/9123532910615541405.html")</f>
        <v>https://www.yoojia.com/article/9123532910615541405.html</v>
      </c>
      <c r="I317" s="3" t="s">
        <v>425</v>
      </c>
      <c r="J317" t="s">
        <v>16</v>
      </c>
    </row>
    <row r="318" ht="23" customHeight="1" spans="1:10">
      <c r="A318" s="2">
        <v>317</v>
      </c>
      <c r="B318" s="3" t="s">
        <v>513</v>
      </c>
      <c r="C318" s="2" t="s">
        <v>514</v>
      </c>
      <c r="D318" s="2" t="s">
        <v>11</v>
      </c>
      <c r="E318" s="2" t="s">
        <v>515</v>
      </c>
      <c r="F318" s="2" t="s">
        <v>13</v>
      </c>
      <c r="G318" s="2" t="s">
        <v>26</v>
      </c>
      <c r="H318" s="4" t="str">
        <f>HYPERLINK("https://www.toutiao.com/article/7571663208512029190/","https://www.toutiao.com/article/7571663208512029190/")</f>
        <v>https://www.toutiao.com/article/7571663208512029190/</v>
      </c>
      <c r="I318" s="3" t="s">
        <v>516</v>
      </c>
      <c r="J318" t="s">
        <v>16</v>
      </c>
    </row>
    <row r="319" ht="23" customHeight="1" spans="1:10">
      <c r="A319" s="2">
        <v>318</v>
      </c>
      <c r="B319" s="3" t="s">
        <v>517</v>
      </c>
      <c r="C319" s="2" t="s">
        <v>518</v>
      </c>
      <c r="D319" s="2" t="s">
        <v>155</v>
      </c>
      <c r="E319" s="2" t="s">
        <v>155</v>
      </c>
      <c r="F319" s="2" t="s">
        <v>13</v>
      </c>
      <c r="G319" s="2" t="s">
        <v>26</v>
      </c>
      <c r="H319" s="4" t="str">
        <f>HYPERLINK("http://www.why.com.cn/wx/article/2025/11/11/17628264371360809504.html","http://www.why.com.cn/wx/article/2025/11/11/17628264371360809504.html")</f>
        <v>http://www.why.com.cn/wx/article/2025/11/11/17628264371360809504.html</v>
      </c>
      <c r="I319" s="3" t="s">
        <v>519</v>
      </c>
      <c r="J319" t="s">
        <v>16</v>
      </c>
    </row>
    <row r="320" ht="23" customHeight="1" spans="1:10">
      <c r="A320" s="2">
        <v>319</v>
      </c>
      <c r="B320" s="3" t="s">
        <v>520</v>
      </c>
      <c r="C320" s="2" t="s">
        <v>521</v>
      </c>
      <c r="D320" s="2" t="s">
        <v>34</v>
      </c>
      <c r="E320" s="2" t="s">
        <v>159</v>
      </c>
      <c r="F320" s="2" t="s">
        <v>13</v>
      </c>
      <c r="G320" s="2" t="s">
        <v>21</v>
      </c>
      <c r="H320" s="4" t="str">
        <f>HYPERLINK("https://kandianshare.html5.qq.com/v2/news/5480074071319202114","https://kandianshare.html5.qq.com/v2/news/5480074071319202114")</f>
        <v>https://kandianshare.html5.qq.com/v2/news/5480074071319202114</v>
      </c>
      <c r="I320" s="3" t="s">
        <v>522</v>
      </c>
      <c r="J320" t="s">
        <v>16</v>
      </c>
    </row>
    <row r="321" ht="23" customHeight="1" spans="1:10">
      <c r="A321" s="2">
        <v>320</v>
      </c>
      <c r="B321" s="3" t="s">
        <v>520</v>
      </c>
      <c r="C321" s="2" t="s">
        <v>521</v>
      </c>
      <c r="D321" s="2" t="s">
        <v>35</v>
      </c>
      <c r="E321" s="2" t="s">
        <v>159</v>
      </c>
      <c r="F321" s="2" t="s">
        <v>13</v>
      </c>
      <c r="G321" s="2" t="s">
        <v>21</v>
      </c>
      <c r="H321" s="4" t="str">
        <f>HYPERLINK("https://new.qq.com/rain/a/20251111A02LRY00","https://new.qq.com/rain/a/20251111A02LRY00")</f>
        <v>https://new.qq.com/rain/a/20251111A02LRY00</v>
      </c>
      <c r="I321" s="3" t="s">
        <v>522</v>
      </c>
      <c r="J321" t="s">
        <v>16</v>
      </c>
    </row>
    <row r="322" ht="23" customHeight="1" spans="1:10">
      <c r="A322" s="2">
        <v>321</v>
      </c>
      <c r="B322" s="3" t="s">
        <v>520</v>
      </c>
      <c r="C322" s="2" t="s">
        <v>523</v>
      </c>
      <c r="D322" s="2" t="s">
        <v>41</v>
      </c>
      <c r="E322" s="2" t="s">
        <v>159</v>
      </c>
      <c r="F322" s="2" t="s">
        <v>13</v>
      </c>
      <c r="G322" s="2" t="s">
        <v>21</v>
      </c>
      <c r="H322" s="4" t="str">
        <f>HYPERLINK("https://mbd.baidu.com/newspage/data/landingshare?nid=news_9118747514017339138","https://mbd.baidu.com/newspage/data/landingshare?nid=news_9118747514017339138")</f>
        <v>https://mbd.baidu.com/newspage/data/landingshare?nid=news_9118747514017339138</v>
      </c>
      <c r="I322" s="3" t="s">
        <v>522</v>
      </c>
      <c r="J322" t="s">
        <v>16</v>
      </c>
    </row>
    <row r="323" ht="23" customHeight="1" spans="1:10">
      <c r="A323" s="2">
        <v>322</v>
      </c>
      <c r="B323" s="3" t="s">
        <v>520</v>
      </c>
      <c r="C323" s="2" t="s">
        <v>523</v>
      </c>
      <c r="D323" s="2" t="s">
        <v>40</v>
      </c>
      <c r="E323" s="2" t="s">
        <v>159</v>
      </c>
      <c r="F323" s="2" t="s">
        <v>13</v>
      </c>
      <c r="G323" s="2" t="s">
        <v>21</v>
      </c>
      <c r="H323" s="4" t="str">
        <f>HYPERLINK("https://www.yoojia.com/article/9118747514017339138.html","https://www.yoojia.com/article/9118747514017339138.html")</f>
        <v>https://www.yoojia.com/article/9118747514017339138.html</v>
      </c>
      <c r="I323" s="3" t="s">
        <v>522</v>
      </c>
      <c r="J323" t="s">
        <v>16</v>
      </c>
    </row>
    <row r="324" ht="23" customHeight="1" spans="1:10">
      <c r="A324" s="2">
        <v>323</v>
      </c>
      <c r="B324" s="3" t="s">
        <v>520</v>
      </c>
      <c r="C324" s="2" t="s">
        <v>524</v>
      </c>
      <c r="D324" s="2" t="s">
        <v>159</v>
      </c>
      <c r="E324" s="2" t="s">
        <v>164</v>
      </c>
      <c r="F324" s="2" t="s">
        <v>13</v>
      </c>
      <c r="G324" s="2" t="s">
        <v>21</v>
      </c>
      <c r="H324" s="4" t="str">
        <f>HYPERLINK("https://static.zhoudaosh.com/files/cnews/2025/20251111/2B0D39E1A57CFEC1F8921E32C224122F44AD010BAFA87F601448A17E651A9A5D/1.html","https://static.zhoudaosh.com/files/cnews/2025/20251111/2B0D39E1A57CFEC1F8921E32C224122F44AD010BAFA87F601448A17E651A9A5D/1.html")</f>
        <v>https://static.zhoudaosh.com/files/cnews/2025/20251111/2B0D39E1A57CFEC1F8921E32C224122F44AD010BAFA87F601448A17E651A9A5D/1.html</v>
      </c>
      <c r="I324" s="3" t="s">
        <v>522</v>
      </c>
      <c r="J324" t="s">
        <v>16</v>
      </c>
    </row>
    <row r="325" ht="23" customHeight="1" spans="1:10">
      <c r="A325" s="2">
        <v>324</v>
      </c>
      <c r="B325" s="3" t="s">
        <v>525</v>
      </c>
      <c r="C325" s="2" t="s">
        <v>526</v>
      </c>
      <c r="D325" s="2" t="s">
        <v>143</v>
      </c>
      <c r="E325" s="2" t="s">
        <v>527</v>
      </c>
      <c r="F325" s="2" t="s">
        <v>145</v>
      </c>
      <c r="G325" s="2" t="s">
        <v>21</v>
      </c>
      <c r="H325" s="4" t="str">
        <f>HYPERLINK("http://www.why.com.cn/epublish/qnb/html/2025-11/11/content_118_38767.htm","http://www.why.com.cn/epublish/qnb/html/2025-11/11/content_118_38767.htm")</f>
        <v>http://www.why.com.cn/epublish/qnb/html/2025-11/11/content_118_38767.htm</v>
      </c>
      <c r="I325" s="3" t="s">
        <v>528</v>
      </c>
      <c r="J325" t="s">
        <v>16</v>
      </c>
    </row>
    <row r="326" ht="23" customHeight="1" spans="1:10">
      <c r="A326" s="2">
        <v>325</v>
      </c>
      <c r="B326" s="3" t="s">
        <v>529</v>
      </c>
      <c r="C326" s="2" t="s">
        <v>526</v>
      </c>
      <c r="D326" s="2" t="s">
        <v>143</v>
      </c>
      <c r="E326" s="2" t="s">
        <v>527</v>
      </c>
      <c r="F326" s="2" t="s">
        <v>145</v>
      </c>
      <c r="G326" s="2" t="s">
        <v>21</v>
      </c>
      <c r="H326" s="4" t="str">
        <f>HYPERLINK("http://www.why.com.cn/epublish/qnb/html/2025-11/11/content_125_38785.htm","http://www.why.com.cn/epublish/qnb/html/2025-11/11/content_125_38785.htm")</f>
        <v>http://www.why.com.cn/epublish/qnb/html/2025-11/11/content_125_38785.htm</v>
      </c>
      <c r="I326" s="3" t="s">
        <v>530</v>
      </c>
      <c r="J326" t="s">
        <v>16</v>
      </c>
    </row>
    <row r="327" ht="23" customHeight="1" spans="1:10">
      <c r="A327" s="2">
        <v>326</v>
      </c>
      <c r="B327" s="3" t="s">
        <v>531</v>
      </c>
      <c r="C327" s="2" t="s">
        <v>532</v>
      </c>
      <c r="D327" s="2" t="s">
        <v>107</v>
      </c>
      <c r="E327" s="2" t="s">
        <v>108</v>
      </c>
      <c r="F327" s="2" t="s">
        <v>13</v>
      </c>
      <c r="G327" s="2" t="s">
        <v>14</v>
      </c>
      <c r="H327" s="4" t="str">
        <f>HYPERLINK("https://k.sina.cn/article_7517400647_1c0126e4705907rroe.html","https://k.sina.cn/article_7517400647_1c0126e4705907rroe.html")</f>
        <v>https://k.sina.cn/article_7517400647_1c0126e4705907rroe.html</v>
      </c>
      <c r="I327" s="3" t="s">
        <v>533</v>
      </c>
      <c r="J327" t="s">
        <v>16</v>
      </c>
    </row>
    <row r="328" ht="23" customHeight="1" spans="1:10">
      <c r="A328" s="2">
        <v>327</v>
      </c>
      <c r="B328" s="3" t="s">
        <v>534</v>
      </c>
      <c r="C328" s="2" t="s">
        <v>532</v>
      </c>
      <c r="D328" s="2" t="s">
        <v>107</v>
      </c>
      <c r="E328" s="2" t="s">
        <v>108</v>
      </c>
      <c r="F328" s="2" t="s">
        <v>13</v>
      </c>
      <c r="G328" s="2" t="s">
        <v>14</v>
      </c>
      <c r="H328" s="4" t="str">
        <f>HYPERLINK("https://k.sina.cn/article_7517400647_1c0126e4705907rrsc.html","https://k.sina.cn/article_7517400647_1c0126e4705907rrsc.html")</f>
        <v>https://k.sina.cn/article_7517400647_1c0126e4705907rrsc.html</v>
      </c>
      <c r="I328" s="3" t="s">
        <v>535</v>
      </c>
      <c r="J328" t="s">
        <v>16</v>
      </c>
    </row>
    <row r="329" ht="23" customHeight="1" spans="1:10">
      <c r="A329" s="2">
        <v>328</v>
      </c>
      <c r="B329" s="3" t="s">
        <v>536</v>
      </c>
      <c r="C329" s="2" t="s">
        <v>537</v>
      </c>
      <c r="D329" s="2" t="s">
        <v>40</v>
      </c>
      <c r="E329" s="2" t="s">
        <v>371</v>
      </c>
      <c r="F329" s="2" t="s">
        <v>13</v>
      </c>
      <c r="G329" s="2" t="s">
        <v>14</v>
      </c>
      <c r="H329" s="4" t="str">
        <f>HYPERLINK("https://www.yoojia.com/article/9438996149769264686.html","https://www.yoojia.com/article/9438996149769264686.html")</f>
        <v>https://www.yoojia.com/article/9438996149769264686.html</v>
      </c>
      <c r="I329" s="3" t="s">
        <v>538</v>
      </c>
      <c r="J329" t="s">
        <v>16</v>
      </c>
    </row>
    <row r="330" ht="23" customHeight="1" spans="1:10">
      <c r="A330" s="2">
        <v>329</v>
      </c>
      <c r="B330" s="3" t="s">
        <v>539</v>
      </c>
      <c r="C330" s="2" t="s">
        <v>540</v>
      </c>
      <c r="D330" s="2" t="s">
        <v>155</v>
      </c>
      <c r="E330" s="2" t="s">
        <v>155</v>
      </c>
      <c r="F330" s="2" t="s">
        <v>13</v>
      </c>
      <c r="G330" s="2" t="s">
        <v>26</v>
      </c>
      <c r="H330" s="4" t="str">
        <f>HYPERLINK("http://www.why.com.cn/wx/article/2025/11/10/17627546271114442387.html","http://www.why.com.cn/wx/article/2025/11/10/17627546271114442387.html")</f>
        <v>http://www.why.com.cn/wx/article/2025/11/10/17627546271114442387.html</v>
      </c>
      <c r="I330" s="3" t="s">
        <v>541</v>
      </c>
      <c r="J330" t="s">
        <v>16</v>
      </c>
    </row>
    <row r="331" ht="23" customHeight="1" spans="1:10">
      <c r="A331" s="2">
        <v>330</v>
      </c>
      <c r="B331" s="3" t="s">
        <v>542</v>
      </c>
      <c r="C331" s="2" t="s">
        <v>543</v>
      </c>
      <c r="D331" s="2" t="s">
        <v>353</v>
      </c>
      <c r="E331" s="2" t="s">
        <v>544</v>
      </c>
      <c r="F331" s="2" t="s">
        <v>354</v>
      </c>
      <c r="G331" s="2" t="s">
        <v>14</v>
      </c>
      <c r="H331" s="4" t="str">
        <f>HYPERLINK("https://weibo.com/2384122784/QdbJa7cx9","https://weibo.com/2384122784/QdbJa7cx9")</f>
        <v>https://weibo.com/2384122784/QdbJa7cx9</v>
      </c>
      <c r="I331" s="3" t="s">
        <v>545</v>
      </c>
      <c r="J331" t="s">
        <v>16</v>
      </c>
    </row>
    <row r="332" ht="23" customHeight="1" spans="1:10">
      <c r="A332" s="2">
        <v>331</v>
      </c>
      <c r="B332" s="3" t="s">
        <v>536</v>
      </c>
      <c r="C332" s="2" t="s">
        <v>546</v>
      </c>
      <c r="D332" s="2" t="s">
        <v>11</v>
      </c>
      <c r="E332" s="2" t="s">
        <v>371</v>
      </c>
      <c r="F332" s="2" t="s">
        <v>13</v>
      </c>
      <c r="G332" s="2" t="s">
        <v>14</v>
      </c>
      <c r="H332" s="4" t="str">
        <f>HYPERLINK("https://www.toutiao.com/article/7570970857955164682/","https://www.toutiao.com/article/7570970857955164682/")</f>
        <v>https://www.toutiao.com/article/7570970857955164682/</v>
      </c>
      <c r="I332" s="3" t="s">
        <v>538</v>
      </c>
      <c r="J332" t="s">
        <v>16</v>
      </c>
    </row>
    <row r="333" ht="23" customHeight="1" spans="1:10">
      <c r="A333" s="2">
        <v>332</v>
      </c>
      <c r="B333" s="3" t="s">
        <v>547</v>
      </c>
      <c r="C333" s="2" t="s">
        <v>548</v>
      </c>
      <c r="D333" s="2" t="s">
        <v>41</v>
      </c>
      <c r="E333" s="2" t="s">
        <v>544</v>
      </c>
      <c r="F333" s="2" t="s">
        <v>13</v>
      </c>
      <c r="G333" s="2" t="s">
        <v>14</v>
      </c>
      <c r="H333" s="4" t="str">
        <f>HYPERLINK("https://mbd.baidu.com/newspage/data/landingshare?nid=news_9274439794975955398","https://mbd.baidu.com/newspage/data/landingshare?nid=news_9274439794975955398")</f>
        <v>https://mbd.baidu.com/newspage/data/landingshare?nid=news_9274439794975955398</v>
      </c>
      <c r="I333" s="3" t="s">
        <v>538</v>
      </c>
      <c r="J333" t="s">
        <v>16</v>
      </c>
    </row>
    <row r="334" ht="23" customHeight="1" spans="1:10">
      <c r="A334" s="2">
        <v>333</v>
      </c>
      <c r="B334" s="3" t="s">
        <v>547</v>
      </c>
      <c r="C334" s="2" t="s">
        <v>548</v>
      </c>
      <c r="D334" s="2" t="s">
        <v>40</v>
      </c>
      <c r="E334" s="2" t="s">
        <v>544</v>
      </c>
      <c r="F334" s="2" t="s">
        <v>13</v>
      </c>
      <c r="G334" s="2" t="s">
        <v>14</v>
      </c>
      <c r="H334" s="4" t="str">
        <f>HYPERLINK("https://www.yoojia.com/article/9274439794975955398.html","https://www.yoojia.com/article/9274439794975955398.html")</f>
        <v>https://www.yoojia.com/article/9274439794975955398.html</v>
      </c>
      <c r="I334" s="3" t="s">
        <v>538</v>
      </c>
      <c r="J334" t="s">
        <v>16</v>
      </c>
    </row>
    <row r="335" ht="23" customHeight="1" spans="1:10">
      <c r="A335" s="2">
        <v>334</v>
      </c>
      <c r="B335" s="3" t="s">
        <v>549</v>
      </c>
      <c r="C335" s="2" t="s">
        <v>550</v>
      </c>
      <c r="D335" s="2" t="s">
        <v>19</v>
      </c>
      <c r="E335" s="2" t="s">
        <v>544</v>
      </c>
      <c r="F335" s="2" t="s">
        <v>13</v>
      </c>
      <c r="G335" s="2" t="s">
        <v>14</v>
      </c>
      <c r="H335" s="4" t="str">
        <f>HYPERLINK("https://c.m.163.com/news/a/KE0EABO6051496VC.html","https://c.m.163.com/news/a/KE0EABO6051496VC.html")</f>
        <v>https://c.m.163.com/news/a/KE0EABO6051496VC.html</v>
      </c>
      <c r="I335" s="3" t="s">
        <v>551</v>
      </c>
      <c r="J335" t="s">
        <v>16</v>
      </c>
    </row>
    <row r="336" ht="23" customHeight="1" spans="1:10">
      <c r="A336" s="2">
        <v>335</v>
      </c>
      <c r="B336" s="3" t="s">
        <v>549</v>
      </c>
      <c r="C336" s="2" t="s">
        <v>552</v>
      </c>
      <c r="D336" s="2" t="s">
        <v>91</v>
      </c>
      <c r="E336" s="2" t="s">
        <v>544</v>
      </c>
      <c r="F336" s="2" t="s">
        <v>91</v>
      </c>
      <c r="G336" s="2" t="s">
        <v>14</v>
      </c>
      <c r="H336" s="4" t="str">
        <f>HYPERLINK("http://mp.weixin.qq.com/s?__biz=MjM5OTU5MzcyMg==&amp;mid=2653732712&amp;idx=1&amp;sn=60b60bfece1eb5646412c90d473dd122","http://mp.weixin.qq.com/s?__biz=MjM5OTU5MzcyMg==&amp;mid=2653732712&amp;idx=1&amp;sn=60b60bfece1eb5646412c90d473dd122")</f>
        <v>http://mp.weixin.qq.com/s?__biz=MjM5OTU5MzcyMg==&amp;mid=2653732712&amp;idx=1&amp;sn=60b60bfece1eb5646412c90d473dd122</v>
      </c>
      <c r="I336" s="3" t="s">
        <v>538</v>
      </c>
      <c r="J336" t="s">
        <v>16</v>
      </c>
    </row>
    <row r="337" ht="23" customHeight="1" spans="1:10">
      <c r="A337" s="2">
        <v>336</v>
      </c>
      <c r="B337" s="3" t="s">
        <v>536</v>
      </c>
      <c r="C337" s="2" t="s">
        <v>552</v>
      </c>
      <c r="D337" s="2" t="s">
        <v>34</v>
      </c>
      <c r="E337" s="2" t="s">
        <v>544</v>
      </c>
      <c r="F337" s="2" t="s">
        <v>13</v>
      </c>
      <c r="G337" s="2" t="s">
        <v>14</v>
      </c>
      <c r="H337" s="4" t="str">
        <f>HYPERLINK("https://kandianshare.html5.qq.com/v2/news/1958258976710211906","https://kandianshare.html5.qq.com/v2/news/1958258976710211906")</f>
        <v>https://kandianshare.html5.qq.com/v2/news/1958258976710211906</v>
      </c>
      <c r="I337" s="3" t="s">
        <v>538</v>
      </c>
      <c r="J337" t="s">
        <v>16</v>
      </c>
    </row>
    <row r="338" ht="23" customHeight="1" spans="1:10">
      <c r="A338" s="2">
        <v>337</v>
      </c>
      <c r="B338" s="3" t="s">
        <v>536</v>
      </c>
      <c r="C338" s="2" t="s">
        <v>552</v>
      </c>
      <c r="D338" s="2" t="s">
        <v>35</v>
      </c>
      <c r="E338" s="2" t="s">
        <v>544</v>
      </c>
      <c r="F338" s="2" t="s">
        <v>13</v>
      </c>
      <c r="G338" s="2" t="s">
        <v>14</v>
      </c>
      <c r="H338" s="4" t="str">
        <f>HYPERLINK("https://new.qq.com/rain/a/20251110A026E600","https://new.qq.com/rain/a/20251110A026E600")</f>
        <v>https://new.qq.com/rain/a/20251110A026E600</v>
      </c>
      <c r="I338" s="3" t="s">
        <v>538</v>
      </c>
      <c r="J338" t="s">
        <v>16</v>
      </c>
    </row>
    <row r="339" ht="23" customHeight="1" spans="1:10">
      <c r="A339" s="2">
        <v>338</v>
      </c>
      <c r="B339" s="3" t="s">
        <v>553</v>
      </c>
      <c r="C339" s="2" t="s">
        <v>554</v>
      </c>
      <c r="D339" s="2" t="s">
        <v>11</v>
      </c>
      <c r="E339" s="2" t="s">
        <v>555</v>
      </c>
      <c r="F339" s="2" t="s">
        <v>13</v>
      </c>
      <c r="G339" s="2" t="s">
        <v>14</v>
      </c>
      <c r="H339" s="4" t="str">
        <f>HYPERLINK("https://www.toutiao.com/w/1848368091942025/","https://www.toutiao.com/w/1848368091942025/")</f>
        <v>https://www.toutiao.com/w/1848368091942025/</v>
      </c>
      <c r="I339" s="3" t="s">
        <v>556</v>
      </c>
      <c r="J339" t="s">
        <v>16</v>
      </c>
    </row>
    <row r="340" ht="23" customHeight="1" spans="1:10">
      <c r="A340" s="2">
        <v>339</v>
      </c>
      <c r="B340" s="3" t="s">
        <v>557</v>
      </c>
      <c r="C340" s="2" t="s">
        <v>558</v>
      </c>
      <c r="D340" s="2" t="s">
        <v>559</v>
      </c>
      <c r="E340" s="2" t="s">
        <v>555</v>
      </c>
      <c r="F340" s="2" t="s">
        <v>37</v>
      </c>
      <c r="G340" s="2" t="s">
        <v>14</v>
      </c>
      <c r="H340" s="4" t="str">
        <f>HYPERLINK("https://super.sina.cn/shequn/post/detail_1128715403246559232.html","https://super.sina.cn/shequn/post/detail_1128715403246559232.html")</f>
        <v>https://super.sina.cn/shequn/post/detail_1128715403246559232.html</v>
      </c>
      <c r="I340" s="3" t="s">
        <v>538</v>
      </c>
      <c r="J340" t="s">
        <v>16</v>
      </c>
    </row>
    <row r="341" ht="23" customHeight="1" spans="1:10">
      <c r="A341" s="2">
        <v>340</v>
      </c>
      <c r="B341" s="3" t="s">
        <v>560</v>
      </c>
      <c r="C341" s="2" t="s">
        <v>558</v>
      </c>
      <c r="D341" s="2" t="s">
        <v>353</v>
      </c>
      <c r="E341" s="2" t="s">
        <v>555</v>
      </c>
      <c r="F341" s="2" t="s">
        <v>354</v>
      </c>
      <c r="G341" s="2" t="s">
        <v>14</v>
      </c>
      <c r="H341" s="4" t="str">
        <f>HYPERLINK("https://weibo.com/1747774447/QdahtqfGw","https://weibo.com/1747774447/QdahtqfGw")</f>
        <v>https://weibo.com/1747774447/QdahtqfGw</v>
      </c>
      <c r="I341" s="3" t="s">
        <v>538</v>
      </c>
      <c r="J341" t="s">
        <v>16</v>
      </c>
    </row>
    <row r="342" ht="23" customHeight="1" spans="1:10">
      <c r="A342" s="2">
        <v>341</v>
      </c>
      <c r="B342" s="3" t="s">
        <v>536</v>
      </c>
      <c r="C342" s="2" t="s">
        <v>561</v>
      </c>
      <c r="D342" s="2" t="s">
        <v>562</v>
      </c>
      <c r="E342" s="2" t="s">
        <v>562</v>
      </c>
      <c r="F342" s="2" t="s">
        <v>13</v>
      </c>
      <c r="G342" s="2" t="s">
        <v>21</v>
      </c>
      <c r="H342" s="4" t="str">
        <f>HYPERLINK("https://edu.yunnan.cn/system/2025/11/10/033720711.shtml","https://edu.yunnan.cn/system/2025/11/10/033720711.shtml")</f>
        <v>https://edu.yunnan.cn/system/2025/11/10/033720711.shtml</v>
      </c>
      <c r="I342" s="3" t="s">
        <v>538</v>
      </c>
      <c r="J342" t="s">
        <v>16</v>
      </c>
    </row>
    <row r="343" ht="23" customHeight="1" spans="1:10">
      <c r="A343" s="2">
        <v>342</v>
      </c>
      <c r="B343" s="3" t="s">
        <v>553</v>
      </c>
      <c r="C343" s="2" t="s">
        <v>563</v>
      </c>
      <c r="D343" s="2" t="s">
        <v>11</v>
      </c>
      <c r="E343" s="2" t="s">
        <v>555</v>
      </c>
      <c r="F343" s="2" t="s">
        <v>13</v>
      </c>
      <c r="G343" s="2" t="s">
        <v>14</v>
      </c>
      <c r="H343" s="4" t="str">
        <f>HYPERLINK("https://www.toutiao.com/w/1848366433854539/","https://www.toutiao.com/w/1848366433854539/")</f>
        <v>https://www.toutiao.com/w/1848366433854539/</v>
      </c>
      <c r="I343" s="3" t="s">
        <v>556</v>
      </c>
      <c r="J343" t="s">
        <v>16</v>
      </c>
    </row>
    <row r="344" ht="23" customHeight="1" spans="1:10">
      <c r="A344" s="2">
        <v>343</v>
      </c>
      <c r="B344" s="3" t="s">
        <v>557</v>
      </c>
      <c r="C344" s="2" t="s">
        <v>564</v>
      </c>
      <c r="D344" s="2" t="s">
        <v>559</v>
      </c>
      <c r="E344" s="2" t="s">
        <v>555</v>
      </c>
      <c r="F344" s="2" t="s">
        <v>37</v>
      </c>
      <c r="G344" s="2" t="s">
        <v>14</v>
      </c>
      <c r="H344" s="4" t="str">
        <f>HYPERLINK("https://super.sina.cn/shequn/post/detail_1128708740901355520.html","https://super.sina.cn/shequn/post/detail_1128708740901355520.html")</f>
        <v>https://super.sina.cn/shequn/post/detail_1128708740901355520.html</v>
      </c>
      <c r="I344" s="3" t="s">
        <v>538</v>
      </c>
      <c r="J344" t="s">
        <v>16</v>
      </c>
    </row>
    <row r="345" ht="23" customHeight="1" spans="1:10">
      <c r="A345" s="2">
        <v>344</v>
      </c>
      <c r="B345" s="3" t="s">
        <v>560</v>
      </c>
      <c r="C345" s="2" t="s">
        <v>564</v>
      </c>
      <c r="D345" s="2" t="s">
        <v>353</v>
      </c>
      <c r="E345" s="2" t="s">
        <v>555</v>
      </c>
      <c r="F345" s="2" t="s">
        <v>354</v>
      </c>
      <c r="G345" s="2" t="s">
        <v>14</v>
      </c>
      <c r="H345" s="4" t="str">
        <f>HYPERLINK("https://weibo.com/1747774447/Qda6JxPdH","https://weibo.com/1747774447/Qda6JxPdH")</f>
        <v>https://weibo.com/1747774447/Qda6JxPdH</v>
      </c>
      <c r="I345" s="3" t="s">
        <v>538</v>
      </c>
      <c r="J345" t="s">
        <v>16</v>
      </c>
    </row>
    <row r="346" ht="23" customHeight="1" spans="1:10">
      <c r="A346" s="2">
        <v>345</v>
      </c>
      <c r="B346" s="3" t="s">
        <v>536</v>
      </c>
      <c r="C346" s="2" t="s">
        <v>565</v>
      </c>
      <c r="D346" s="2" t="s">
        <v>11</v>
      </c>
      <c r="E346" s="2" t="s">
        <v>371</v>
      </c>
      <c r="F346" s="2" t="s">
        <v>13</v>
      </c>
      <c r="G346" s="2" t="s">
        <v>14</v>
      </c>
      <c r="H346" s="4" t="str">
        <f>HYPERLINK("https://www.toutiao.com/article/7570906421873656354/","https://www.toutiao.com/article/7570906421873656354/")</f>
        <v>https://www.toutiao.com/article/7570906421873656354/</v>
      </c>
      <c r="I346" s="3" t="s">
        <v>538</v>
      </c>
      <c r="J346" t="s">
        <v>16</v>
      </c>
    </row>
    <row r="347" ht="23" customHeight="1" spans="1:10">
      <c r="A347" s="2">
        <v>346</v>
      </c>
      <c r="B347" s="3" t="s">
        <v>536</v>
      </c>
      <c r="C347" s="2" t="s">
        <v>566</v>
      </c>
      <c r="D347" s="2" t="s">
        <v>555</v>
      </c>
      <c r="E347" s="2" t="s">
        <v>567</v>
      </c>
      <c r="F347" s="2" t="s">
        <v>13</v>
      </c>
      <c r="G347" s="2" t="s">
        <v>14</v>
      </c>
      <c r="H347" s="4" t="str">
        <f>HYPERLINK("http://www.jyb.cn/rmtzgjyb/202511/t20251110_2111411016.html","http://www.jyb.cn/rmtzgjyb/202511/t20251110_2111411016.html")</f>
        <v>http://www.jyb.cn/rmtzgjyb/202511/t20251110_2111411016.html</v>
      </c>
      <c r="I347" s="3" t="s">
        <v>538</v>
      </c>
      <c r="J347" t="s">
        <v>16</v>
      </c>
    </row>
    <row r="348" ht="23" customHeight="1" spans="1:10">
      <c r="A348" s="2">
        <v>347</v>
      </c>
      <c r="B348" s="3" t="s">
        <v>568</v>
      </c>
      <c r="C348" s="2" t="s">
        <v>569</v>
      </c>
      <c r="D348" s="2" t="s">
        <v>544</v>
      </c>
      <c r="E348" s="2" t="s">
        <v>544</v>
      </c>
      <c r="F348" s="2" t="s">
        <v>37</v>
      </c>
      <c r="G348" s="2" t="s">
        <v>14</v>
      </c>
      <c r="H348" s="4" t="str">
        <f>HYPERLINK("https://share.app3.jyb.cn/news_d/4888d117f39f35065350717064c072bf","https://share.app3.jyb.cn/news_d/4888d117f39f35065350717064c072bf")</f>
        <v>https://share.app3.jyb.cn/news_d/4888d117f39f35065350717064c072bf</v>
      </c>
      <c r="I348" s="3" t="s">
        <v>538</v>
      </c>
      <c r="J348" t="s">
        <v>16</v>
      </c>
    </row>
    <row r="349" ht="23" customHeight="1" spans="1:10">
      <c r="A349" s="2">
        <v>348</v>
      </c>
      <c r="B349" s="3" t="s">
        <v>536</v>
      </c>
      <c r="C349" s="2" t="s">
        <v>570</v>
      </c>
      <c r="D349" s="2" t="s">
        <v>379</v>
      </c>
      <c r="E349" s="2" t="s">
        <v>371</v>
      </c>
      <c r="F349" s="2" t="s">
        <v>13</v>
      </c>
      <c r="G349" s="2" t="s">
        <v>14</v>
      </c>
      <c r="H349" s="4" t="str">
        <f>HYPERLINK("http://www.yidianzixun.com/article/14GxL8Ei","http://www.yidianzixun.com/article/14GxL8Ei")</f>
        <v>http://www.yidianzixun.com/article/14GxL8Ei</v>
      </c>
      <c r="I349" s="3" t="s">
        <v>571</v>
      </c>
      <c r="J349" t="s">
        <v>16</v>
      </c>
    </row>
    <row r="350" ht="23" customHeight="1" spans="1:10">
      <c r="A350" s="2">
        <v>349</v>
      </c>
      <c r="B350" s="3" t="s">
        <v>536</v>
      </c>
      <c r="C350" s="2" t="s">
        <v>572</v>
      </c>
      <c r="D350" s="2" t="s">
        <v>371</v>
      </c>
      <c r="E350" s="2" t="s">
        <v>573</v>
      </c>
      <c r="F350" s="2" t="s">
        <v>13</v>
      </c>
      <c r="G350" s="2" t="s">
        <v>14</v>
      </c>
      <c r="H350" s="4" t="str">
        <f>HYPERLINK("https://m.gmw.cn/2025-11/10/content_38403000.htm","https://m.gmw.cn/2025-11/10/content_38403000.htm")</f>
        <v>https://m.gmw.cn/2025-11/10/content_38403000.htm</v>
      </c>
      <c r="I350" s="3" t="s">
        <v>545</v>
      </c>
      <c r="J350" t="s">
        <v>16</v>
      </c>
    </row>
    <row r="351" ht="23" customHeight="1" spans="1:10">
      <c r="A351" s="2">
        <v>350</v>
      </c>
      <c r="B351" s="3" t="s">
        <v>536</v>
      </c>
      <c r="C351" s="2" t="s">
        <v>572</v>
      </c>
      <c r="D351" s="2" t="s">
        <v>371</v>
      </c>
      <c r="E351" s="2" t="s">
        <v>573</v>
      </c>
      <c r="F351" s="2" t="s">
        <v>13</v>
      </c>
      <c r="G351" s="2" t="s">
        <v>14</v>
      </c>
      <c r="H351" s="4" t="str">
        <f>HYPERLINK("https://edu.gmw.cn/2025-11/10/content_38401906.htm","https://edu.gmw.cn/2025-11/10/content_38401906.htm")</f>
        <v>https://edu.gmw.cn/2025-11/10/content_38401906.htm</v>
      </c>
      <c r="I351" s="3" t="s">
        <v>538</v>
      </c>
      <c r="J351" t="s">
        <v>16</v>
      </c>
    </row>
    <row r="352" ht="23" customHeight="1" spans="1:10">
      <c r="A352" s="2">
        <v>351</v>
      </c>
      <c r="B352" s="3" t="s">
        <v>536</v>
      </c>
      <c r="C352" s="2" t="s">
        <v>572</v>
      </c>
      <c r="D352" s="2" t="s">
        <v>29</v>
      </c>
      <c r="E352" s="2" t="s">
        <v>371</v>
      </c>
      <c r="F352" s="2" t="s">
        <v>13</v>
      </c>
      <c r="G352" s="2" t="s">
        <v>14</v>
      </c>
      <c r="H352" s="4" t="str">
        <f>HYPERLINK("https://finance.sina.cn/2025-11-10/detail-infwwrnx1583687.d.html","https://finance.sina.cn/2025-11-10/detail-infwwrnx1583687.d.html")</f>
        <v>https://finance.sina.cn/2025-11-10/detail-infwwrnx1583687.d.html</v>
      </c>
      <c r="I352" s="3" t="s">
        <v>571</v>
      </c>
      <c r="J352" t="s">
        <v>16</v>
      </c>
    </row>
    <row r="353" ht="23" customHeight="1" spans="1:10">
      <c r="A353" s="2">
        <v>352</v>
      </c>
      <c r="B353" s="3" t="s">
        <v>536</v>
      </c>
      <c r="C353" s="2" t="s">
        <v>572</v>
      </c>
      <c r="D353" s="2" t="s">
        <v>574</v>
      </c>
      <c r="E353" s="2" t="s">
        <v>574</v>
      </c>
      <c r="F353" s="2" t="s">
        <v>37</v>
      </c>
      <c r="G353" s="2" t="s">
        <v>14</v>
      </c>
      <c r="H353" s="4" t="str">
        <f>HYPERLINK("http://gmym.gmw.cn/detail/38403000/","http://gmym.gmw.cn/detail/38403000/")</f>
        <v>http://gmym.gmw.cn/detail/38403000/</v>
      </c>
      <c r="I353" s="3" t="s">
        <v>538</v>
      </c>
      <c r="J353" t="s">
        <v>16</v>
      </c>
    </row>
    <row r="354" ht="23" customHeight="1" spans="1:10">
      <c r="A354" s="2">
        <v>353</v>
      </c>
      <c r="B354" s="3" t="s">
        <v>536</v>
      </c>
      <c r="C354" s="2" t="s">
        <v>572</v>
      </c>
      <c r="D354" s="2" t="s">
        <v>40</v>
      </c>
      <c r="E354" s="2" t="s">
        <v>371</v>
      </c>
      <c r="F354" s="2" t="s">
        <v>13</v>
      </c>
      <c r="G354" s="2" t="s">
        <v>14</v>
      </c>
      <c r="H354" s="4" t="str">
        <f>HYPERLINK("https://www.yoojia.com/article/9160655618676525244.html","https://www.yoojia.com/article/9160655618676525244.html")</f>
        <v>https://www.yoojia.com/article/9160655618676525244.html</v>
      </c>
      <c r="I354" s="3" t="s">
        <v>538</v>
      </c>
      <c r="J354" t="s">
        <v>16</v>
      </c>
    </row>
    <row r="355" ht="23" customHeight="1" spans="1:10">
      <c r="A355" s="2">
        <v>354</v>
      </c>
      <c r="B355" s="3" t="s">
        <v>536</v>
      </c>
      <c r="C355" s="2" t="s">
        <v>572</v>
      </c>
      <c r="D355" s="2" t="s">
        <v>574</v>
      </c>
      <c r="E355" s="2" t="s">
        <v>574</v>
      </c>
      <c r="F355" s="2" t="s">
        <v>37</v>
      </c>
      <c r="G355" s="2" t="s">
        <v>14</v>
      </c>
      <c r="H355" s="4" t="str">
        <f>HYPERLINK("http://gmym.gmw.cn/detail/38401906/","http://gmym.gmw.cn/detail/38401906/")</f>
        <v>http://gmym.gmw.cn/detail/38401906/</v>
      </c>
      <c r="I355" s="3" t="s">
        <v>538</v>
      </c>
      <c r="J355" t="s">
        <v>16</v>
      </c>
    </row>
    <row r="356" ht="23" customHeight="1" spans="1:10">
      <c r="A356" s="2">
        <v>355</v>
      </c>
      <c r="B356" s="3" t="s">
        <v>536</v>
      </c>
      <c r="C356" s="2" t="s">
        <v>572</v>
      </c>
      <c r="D356" s="2" t="s">
        <v>41</v>
      </c>
      <c r="E356" s="2" t="s">
        <v>371</v>
      </c>
      <c r="F356" s="2" t="s">
        <v>13</v>
      </c>
      <c r="G356" s="2" t="s">
        <v>14</v>
      </c>
      <c r="H356" s="4" t="str">
        <f>HYPERLINK("https://mbd.baidu.com/newspage/data/landingshare?nid=news_9160655618676525244","https://mbd.baidu.com/newspage/data/landingshare?nid=news_9160655618676525244")</f>
        <v>https://mbd.baidu.com/newspage/data/landingshare?nid=news_9160655618676525244</v>
      </c>
      <c r="I356" s="3" t="s">
        <v>538</v>
      </c>
      <c r="J356" t="s">
        <v>16</v>
      </c>
    </row>
    <row r="357" ht="23" customHeight="1" spans="1:10">
      <c r="A357" s="2">
        <v>356</v>
      </c>
      <c r="B357" s="3" t="s">
        <v>536</v>
      </c>
      <c r="C357" s="2" t="s">
        <v>575</v>
      </c>
      <c r="D357" s="2" t="s">
        <v>19</v>
      </c>
      <c r="E357" s="2" t="s">
        <v>555</v>
      </c>
      <c r="F357" s="2" t="s">
        <v>13</v>
      </c>
      <c r="G357" s="2" t="s">
        <v>14</v>
      </c>
      <c r="H357" s="4" t="str">
        <f>HYPERLINK("https://c.m.163.com/news/a/KE08E8QM0550CBNY.html","https://c.m.163.com/news/a/KE08E8QM0550CBNY.html")</f>
        <v>https://c.m.163.com/news/a/KE08E8QM0550CBNY.html</v>
      </c>
      <c r="I357" s="3" t="s">
        <v>538</v>
      </c>
      <c r="J357" t="s">
        <v>16</v>
      </c>
    </row>
    <row r="358" ht="23" customHeight="1" spans="1:10">
      <c r="A358" s="2">
        <v>357</v>
      </c>
      <c r="B358" s="3" t="s">
        <v>536</v>
      </c>
      <c r="C358" s="2" t="s">
        <v>576</v>
      </c>
      <c r="D358" s="2" t="s">
        <v>11</v>
      </c>
      <c r="E358" s="2" t="s">
        <v>555</v>
      </c>
      <c r="F358" s="2" t="s">
        <v>13</v>
      </c>
      <c r="G358" s="2" t="s">
        <v>14</v>
      </c>
      <c r="H358" s="4" t="str">
        <f>HYPERLINK("https://www.toutiao.com/article/7570892822266528265/","https://www.toutiao.com/article/7570892822266528265/")</f>
        <v>https://www.toutiao.com/article/7570892822266528265/</v>
      </c>
      <c r="I358" s="3" t="s">
        <v>538</v>
      </c>
      <c r="J358" t="s">
        <v>16</v>
      </c>
    </row>
    <row r="359" ht="23" customHeight="1" spans="1:10">
      <c r="A359" s="2">
        <v>358</v>
      </c>
      <c r="B359" s="3" t="s">
        <v>536</v>
      </c>
      <c r="C359" s="2" t="s">
        <v>577</v>
      </c>
      <c r="D359" s="2" t="s">
        <v>46</v>
      </c>
      <c r="E359" s="2" t="s">
        <v>555</v>
      </c>
      <c r="F359" s="2" t="s">
        <v>37</v>
      </c>
      <c r="G359" s="2" t="s">
        <v>14</v>
      </c>
      <c r="H359" s="4" t="str">
        <f>HYPERLINK("https://3g.k.sohu.com/t/n946130459?serialId=5be4698c4abb1a29e1c475bfa47d9ae6&amp;showType=946130459","https://3g.k.sohu.com/t/n946130459?serialId=5be4698c4abb1a29e1c475bfa47d9ae6&amp;showType=946130459")</f>
        <v>https://3g.k.sohu.com/t/n946130459?serialId=5be4698c4abb1a29e1c475bfa47d9ae6&amp;showType=946130459</v>
      </c>
      <c r="I359" s="3" t="s">
        <v>538</v>
      </c>
      <c r="J359" t="s">
        <v>16</v>
      </c>
    </row>
    <row r="360" ht="23" customHeight="1" spans="1:10">
      <c r="A360" s="2">
        <v>359</v>
      </c>
      <c r="B360" s="3" t="s">
        <v>536</v>
      </c>
      <c r="C360" s="2" t="s">
        <v>577</v>
      </c>
      <c r="D360" s="2" t="s">
        <v>40</v>
      </c>
      <c r="E360" s="2" t="s">
        <v>555</v>
      </c>
      <c r="F360" s="2" t="s">
        <v>13</v>
      </c>
      <c r="G360" s="2" t="s">
        <v>14</v>
      </c>
      <c r="H360" s="4" t="str">
        <f>HYPERLINK("https://www.yoojia.com/article/9004512481948404016.html","https://www.yoojia.com/article/9004512481948404016.html")</f>
        <v>https://www.yoojia.com/article/9004512481948404016.html</v>
      </c>
      <c r="I360" s="3" t="s">
        <v>538</v>
      </c>
      <c r="J360" t="s">
        <v>16</v>
      </c>
    </row>
    <row r="361" ht="23" customHeight="1" spans="1:10">
      <c r="A361" s="2">
        <v>360</v>
      </c>
      <c r="B361" s="3" t="s">
        <v>536</v>
      </c>
      <c r="C361" s="2" t="s">
        <v>577</v>
      </c>
      <c r="D361" s="2" t="s">
        <v>46</v>
      </c>
      <c r="E361" s="2" t="s">
        <v>555</v>
      </c>
      <c r="F361" s="2" t="s">
        <v>13</v>
      </c>
      <c r="G361" s="2" t="s">
        <v>14</v>
      </c>
      <c r="H361" s="4" t="str">
        <f>HYPERLINK("https://www.sohu.com/a/952658153_243614","https://www.sohu.com/a/952658153_243614")</f>
        <v>https://www.sohu.com/a/952658153_243614</v>
      </c>
      <c r="I361" s="3" t="s">
        <v>538</v>
      </c>
      <c r="J361" t="s">
        <v>16</v>
      </c>
    </row>
    <row r="362" ht="23" customHeight="1" spans="1:10">
      <c r="A362" s="2">
        <v>361</v>
      </c>
      <c r="B362" s="3" t="s">
        <v>536</v>
      </c>
      <c r="C362" s="2" t="s">
        <v>577</v>
      </c>
      <c r="D362" s="2" t="s">
        <v>41</v>
      </c>
      <c r="E362" s="2" t="s">
        <v>555</v>
      </c>
      <c r="F362" s="2" t="s">
        <v>13</v>
      </c>
      <c r="G362" s="2" t="s">
        <v>14</v>
      </c>
      <c r="H362" s="4" t="str">
        <f>HYPERLINK("https://mbd.baidu.com/newspage/data/landingshare?nid=news_9004512481948404016","https://mbd.baidu.com/newspage/data/landingshare?nid=news_9004512481948404016")</f>
        <v>https://mbd.baidu.com/newspage/data/landingshare?nid=news_9004512481948404016</v>
      </c>
      <c r="I362" s="3" t="s">
        <v>538</v>
      </c>
      <c r="J362" t="s">
        <v>16</v>
      </c>
    </row>
    <row r="363" ht="23" customHeight="1" spans="1:10">
      <c r="A363" s="2">
        <v>362</v>
      </c>
      <c r="B363" s="3" t="s">
        <v>578</v>
      </c>
      <c r="C363" s="2" t="s">
        <v>579</v>
      </c>
      <c r="D363" s="2" t="s">
        <v>544</v>
      </c>
      <c r="E363" s="2" t="s">
        <v>544</v>
      </c>
      <c r="F363" s="2" t="s">
        <v>145</v>
      </c>
      <c r="G363" s="2" t="s">
        <v>14</v>
      </c>
      <c r="H363" s="4" t="str">
        <f>HYPERLINK("http://paper.jyb.cn/zgjyb/html/2025-11/10/content_144740_19030793.htm","http://paper.jyb.cn/zgjyb/html/2025-11/10/content_144740_19030793.htm")</f>
        <v>http://paper.jyb.cn/zgjyb/html/2025-11/10/content_144740_19030793.htm</v>
      </c>
      <c r="I363" s="3" t="s">
        <v>538</v>
      </c>
      <c r="J363" t="s">
        <v>16</v>
      </c>
    </row>
    <row r="364" ht="23" customHeight="1" spans="1:10">
      <c r="A364" s="2">
        <v>363</v>
      </c>
      <c r="B364" s="3" t="s">
        <v>578</v>
      </c>
      <c r="C364" s="2" t="s">
        <v>580</v>
      </c>
      <c r="D364" s="2" t="s">
        <v>544</v>
      </c>
      <c r="E364" s="2" t="s">
        <v>544</v>
      </c>
      <c r="F364" s="2" t="s">
        <v>145</v>
      </c>
      <c r="G364" s="2" t="s">
        <v>14</v>
      </c>
      <c r="H364" s="4" t="str">
        <f>HYPERLINK("http://paper.jyb.cn/zgjyb/html/2025-11/10/content_144742_19030806.htm","http://paper.jyb.cn/zgjyb/html/2025-11/10/content_144742_19030806.htm")</f>
        <v>http://paper.jyb.cn/zgjyb/html/2025-11/10/content_144742_19030806.htm</v>
      </c>
      <c r="I364" s="3" t="s">
        <v>538</v>
      </c>
      <c r="J364" t="s">
        <v>16</v>
      </c>
    </row>
    <row r="365" ht="23" customHeight="1" spans="1:10">
      <c r="A365" s="2">
        <v>364</v>
      </c>
      <c r="B365" s="3" t="s">
        <v>536</v>
      </c>
      <c r="C365" s="2" t="s">
        <v>581</v>
      </c>
      <c r="D365" s="2" t="s">
        <v>107</v>
      </c>
      <c r="E365" s="2" t="s">
        <v>108</v>
      </c>
      <c r="F365" s="2" t="s">
        <v>13</v>
      </c>
      <c r="G365" s="2" t="s">
        <v>14</v>
      </c>
      <c r="H365" s="4" t="str">
        <f>HYPERLINK("https://k.sina.cn/article_7517400647_1c0126e4705907rj5u.html","https://k.sina.cn/article_7517400647_1c0126e4705907rj5u.html")</f>
        <v>https://k.sina.cn/article_7517400647_1c0126e4705907rj5u.html</v>
      </c>
      <c r="I365" s="3" t="s">
        <v>582</v>
      </c>
      <c r="J365" t="s">
        <v>16</v>
      </c>
    </row>
    <row r="366" ht="23" customHeight="1" spans="1:10">
      <c r="A366" s="2">
        <v>365</v>
      </c>
      <c r="B366" s="3" t="s">
        <v>583</v>
      </c>
      <c r="C366" s="2" t="s">
        <v>584</v>
      </c>
      <c r="D366" s="2" t="s">
        <v>41</v>
      </c>
      <c r="E366" s="2" t="s">
        <v>20</v>
      </c>
      <c r="F366" s="2" t="s">
        <v>13</v>
      </c>
      <c r="G366" s="2" t="s">
        <v>21</v>
      </c>
      <c r="H366" s="4" t="str">
        <f>HYPERLINK("https://mbd.baidu.com/newspage/data/landingshare?nid=news_9311814295444640616","https://mbd.baidu.com/newspage/data/landingshare?nid=news_9311814295444640616")</f>
        <v>https://mbd.baidu.com/newspage/data/landingshare?nid=news_9311814295444640616</v>
      </c>
      <c r="I366" s="3" t="s">
        <v>585</v>
      </c>
      <c r="J366" t="s">
        <v>16</v>
      </c>
    </row>
    <row r="367" ht="23" customHeight="1" spans="1:10">
      <c r="A367" s="2">
        <v>366</v>
      </c>
      <c r="B367" s="3" t="s">
        <v>583</v>
      </c>
      <c r="C367" s="2" t="s">
        <v>584</v>
      </c>
      <c r="D367" s="2" t="s">
        <v>40</v>
      </c>
      <c r="E367" s="2" t="s">
        <v>20</v>
      </c>
      <c r="F367" s="2" t="s">
        <v>13</v>
      </c>
      <c r="G367" s="2" t="s">
        <v>21</v>
      </c>
      <c r="H367" s="4" t="str">
        <f>HYPERLINK("https://www.yoojia.com/article/9311814295444640616.html","https://www.yoojia.com/article/9311814295444640616.html")</f>
        <v>https://www.yoojia.com/article/9311814295444640616.html</v>
      </c>
      <c r="I367" s="3" t="s">
        <v>585</v>
      </c>
      <c r="J367" t="s">
        <v>16</v>
      </c>
    </row>
    <row r="368" ht="23" customHeight="1" spans="1:10">
      <c r="A368" s="2">
        <v>367</v>
      </c>
      <c r="B368" s="3" t="s">
        <v>583</v>
      </c>
      <c r="C368" s="2" t="s">
        <v>586</v>
      </c>
      <c r="D368" s="2" t="s">
        <v>91</v>
      </c>
      <c r="E368" s="2" t="s">
        <v>587</v>
      </c>
      <c r="F368" s="2" t="s">
        <v>91</v>
      </c>
      <c r="G368" s="2" t="s">
        <v>26</v>
      </c>
      <c r="H368" s="4" t="str">
        <f>HYPERLINK("http://mp.weixin.qq.com/s?__biz=MjM5Njg0ODc5NA==&amp;mid=2651529818&amp;idx=3&amp;sn=5ff9aff8220f8a294e56d732f0cf95d7","http://mp.weixin.qq.com/s?__biz=MjM5Njg0ODc5NA==&amp;mid=2651529818&amp;idx=3&amp;sn=5ff9aff8220f8a294e56d732f0cf95d7")</f>
        <v>http://mp.weixin.qq.com/s?__biz=MjM5Njg0ODc5NA==&amp;mid=2651529818&amp;idx=3&amp;sn=5ff9aff8220f8a294e56d732f0cf95d7</v>
      </c>
      <c r="I368" s="3" t="s">
        <v>585</v>
      </c>
      <c r="J368" t="s">
        <v>16</v>
      </c>
    </row>
    <row r="369" ht="23" customHeight="1" spans="1:10">
      <c r="A369" s="2">
        <v>368</v>
      </c>
      <c r="B369" s="3" t="s">
        <v>588</v>
      </c>
      <c r="C369" s="2" t="s">
        <v>589</v>
      </c>
      <c r="D369" s="2" t="s">
        <v>19</v>
      </c>
      <c r="E369" s="2" t="s">
        <v>20</v>
      </c>
      <c r="F369" s="2" t="s">
        <v>13</v>
      </c>
      <c r="G369" s="2" t="s">
        <v>21</v>
      </c>
      <c r="H369" s="4" t="str">
        <f>HYPERLINK("https://c.m.163.com/news/a/KDPMOKEU055040N3.html","https://c.m.163.com/news/a/KDPMOKEU055040N3.html")</f>
        <v>https://c.m.163.com/news/a/KDPMOKEU055040N3.html</v>
      </c>
      <c r="I369" s="3" t="s">
        <v>590</v>
      </c>
      <c r="J369" t="s">
        <v>16</v>
      </c>
    </row>
    <row r="370" ht="23" customHeight="1" spans="1:10">
      <c r="A370" s="2">
        <v>369</v>
      </c>
      <c r="B370" s="3" t="s">
        <v>588</v>
      </c>
      <c r="C370" s="2" t="s">
        <v>591</v>
      </c>
      <c r="D370" s="2" t="s">
        <v>40</v>
      </c>
      <c r="E370" s="2" t="s">
        <v>20</v>
      </c>
      <c r="F370" s="2" t="s">
        <v>13</v>
      </c>
      <c r="G370" s="2" t="s">
        <v>21</v>
      </c>
      <c r="H370" s="4" t="str">
        <f>HYPERLINK("https://www.yoojia.com/article/8574651822515284654.html","https://www.yoojia.com/article/8574651822515284654.html")</f>
        <v>https://www.yoojia.com/article/8574651822515284654.html</v>
      </c>
      <c r="I370" s="3" t="s">
        <v>592</v>
      </c>
      <c r="J370" t="s">
        <v>16</v>
      </c>
    </row>
    <row r="371" ht="23" customHeight="1" spans="1:10">
      <c r="A371" s="2">
        <v>370</v>
      </c>
      <c r="B371" s="3" t="s">
        <v>588</v>
      </c>
      <c r="C371" s="2" t="s">
        <v>591</v>
      </c>
      <c r="D371" s="2" t="s">
        <v>41</v>
      </c>
      <c r="E371" s="2" t="s">
        <v>20</v>
      </c>
      <c r="F371" s="2" t="s">
        <v>13</v>
      </c>
      <c r="G371" s="2" t="s">
        <v>21</v>
      </c>
      <c r="H371" s="4" t="str">
        <f>HYPERLINK("https://mbd.baidu.com/newspage/data/landingshare?nid=news_8574651822515284654","https://mbd.baidu.com/newspage/data/landingshare?nid=news_8574651822515284654")</f>
        <v>https://mbd.baidu.com/newspage/data/landingshare?nid=news_8574651822515284654</v>
      </c>
      <c r="I371" s="3" t="s">
        <v>592</v>
      </c>
      <c r="J371" t="s">
        <v>16</v>
      </c>
    </row>
    <row r="372" ht="23" customHeight="1" spans="1:10">
      <c r="A372" s="2">
        <v>371</v>
      </c>
      <c r="B372" s="3" t="s">
        <v>593</v>
      </c>
      <c r="C372" s="2" t="s">
        <v>594</v>
      </c>
      <c r="D372" s="2" t="s">
        <v>43</v>
      </c>
      <c r="E372" s="2" t="s">
        <v>595</v>
      </c>
      <c r="F372" s="2" t="s">
        <v>13</v>
      </c>
      <c r="G372" s="2" t="s">
        <v>21</v>
      </c>
      <c r="H372" s="4" t="str">
        <f>HYPERLINK("https://www.shobserver.com/staticsg/res/html/web/newsDetail.html?id=1013732","https://www.shobserver.com/staticsg/res/html/web/newsDetail.html?id=1013732")</f>
        <v>https://www.shobserver.com/staticsg/res/html/web/newsDetail.html?id=1013732</v>
      </c>
      <c r="I372" s="3" t="s">
        <v>596</v>
      </c>
      <c r="J372" t="s">
        <v>16</v>
      </c>
    </row>
    <row r="373" ht="23" customHeight="1" spans="1:10">
      <c r="A373" s="2">
        <v>372</v>
      </c>
      <c r="B373" s="3" t="s">
        <v>593</v>
      </c>
      <c r="C373" s="2" t="s">
        <v>597</v>
      </c>
      <c r="D373" s="2" t="s">
        <v>43</v>
      </c>
      <c r="E373" s="2" t="s">
        <v>595</v>
      </c>
      <c r="F373" s="2" t="s">
        <v>13</v>
      </c>
      <c r="G373" s="2" t="s">
        <v>21</v>
      </c>
      <c r="H373" s="4" t="str">
        <f>HYPERLINK("https://www.jfdaily.com/staticsg/res/html/web/newsDetail.html?id=1013732","https://www.jfdaily.com/staticsg/res/html/web/newsDetail.html?id=1013732")</f>
        <v>https://www.jfdaily.com/staticsg/res/html/web/newsDetail.html?id=1013732</v>
      </c>
      <c r="I373" s="3" t="s">
        <v>598</v>
      </c>
      <c r="J373" t="s">
        <v>16</v>
      </c>
    </row>
    <row r="374" ht="23" customHeight="1" spans="1:10">
      <c r="A374" s="2">
        <v>373</v>
      </c>
      <c r="B374" s="3" t="s">
        <v>599</v>
      </c>
      <c r="C374" s="2" t="s">
        <v>600</v>
      </c>
      <c r="D374" s="2" t="s">
        <v>11</v>
      </c>
      <c r="E374" s="2" t="s">
        <v>601</v>
      </c>
      <c r="F374" s="2" t="s">
        <v>13</v>
      </c>
      <c r="G374" s="2" t="s">
        <v>26</v>
      </c>
      <c r="H374" s="4" t="str">
        <f>HYPERLINK("https://www.toutiao.com/article/7569443965158621738/","https://www.toutiao.com/article/7569443965158621738/")</f>
        <v>https://www.toutiao.com/article/7569443965158621738/</v>
      </c>
      <c r="I374" s="3" t="s">
        <v>602</v>
      </c>
      <c r="J374" t="s">
        <v>16</v>
      </c>
    </row>
    <row r="375" ht="23" customHeight="1" spans="1:10">
      <c r="A375" s="2">
        <v>374</v>
      </c>
      <c r="B375" s="3" t="s">
        <v>599</v>
      </c>
      <c r="C375" s="2" t="s">
        <v>603</v>
      </c>
      <c r="D375" s="2" t="s">
        <v>91</v>
      </c>
      <c r="E375" s="2" t="s">
        <v>601</v>
      </c>
      <c r="F375" s="2" t="s">
        <v>91</v>
      </c>
      <c r="G375" s="2" t="s">
        <v>26</v>
      </c>
      <c r="H375" s="4" t="str">
        <f>HYPERLINK("http://mp.weixin.qq.com/s?__biz=MzA3MjQ2MTMwOA==&amp;mid=2656881889&amp;idx=1&amp;sn=c71e9f5f1a1099373a98e97361c02f82","http://mp.weixin.qq.com/s?__biz=MzA3MjQ2MTMwOA==&amp;mid=2656881889&amp;idx=1&amp;sn=c71e9f5f1a1099373a98e97361c02f82")</f>
        <v>http://mp.weixin.qq.com/s?__biz=MzA3MjQ2MTMwOA==&amp;mid=2656881889&amp;idx=1&amp;sn=c71e9f5f1a1099373a98e97361c02f82</v>
      </c>
      <c r="I375" s="3" t="s">
        <v>604</v>
      </c>
      <c r="J375" t="s">
        <v>16</v>
      </c>
    </row>
    <row r="376" ht="23" customHeight="1" spans="1:10">
      <c r="A376" s="2">
        <v>375</v>
      </c>
      <c r="B376" s="3" t="s">
        <v>605</v>
      </c>
      <c r="C376" s="2" t="s">
        <v>606</v>
      </c>
      <c r="D376" s="2" t="s">
        <v>11</v>
      </c>
      <c r="E376" s="2" t="s">
        <v>87</v>
      </c>
      <c r="F376" s="2" t="s">
        <v>13</v>
      </c>
      <c r="G376" s="2" t="s">
        <v>26</v>
      </c>
      <c r="H376" s="4" t="str">
        <f>HYPERLINK("https://www.toutiao.com/article/7569079645652533787/","https://www.toutiao.com/article/7569079645652533787/")</f>
        <v>https://www.toutiao.com/article/7569079645652533787/</v>
      </c>
      <c r="I376" s="3" t="s">
        <v>607</v>
      </c>
      <c r="J376" t="s">
        <v>16</v>
      </c>
    </row>
    <row r="377" ht="23" customHeight="1" spans="1:10">
      <c r="A377" s="2">
        <v>376</v>
      </c>
      <c r="B377" s="3" t="s">
        <v>608</v>
      </c>
      <c r="C377" s="2" t="s">
        <v>609</v>
      </c>
      <c r="D377" s="2" t="s">
        <v>19</v>
      </c>
      <c r="E377" s="2" t="s">
        <v>108</v>
      </c>
      <c r="F377" s="2" t="s">
        <v>13</v>
      </c>
      <c r="G377" s="2" t="s">
        <v>14</v>
      </c>
      <c r="H377" s="4" t="str">
        <f>HYPERLINK("https://c.m.163.com/news/a/KDJKF8DF0530QRMB.html","https://c.m.163.com/news/a/KDJKF8DF0530QRMB.html")</f>
        <v>https://c.m.163.com/news/a/KDJKF8DF0530QRMB.html</v>
      </c>
      <c r="I377" s="3" t="s">
        <v>610</v>
      </c>
      <c r="J377" t="s">
        <v>16</v>
      </c>
    </row>
    <row r="378" ht="23" customHeight="1" spans="1:10">
      <c r="A378" s="2">
        <v>377</v>
      </c>
      <c r="B378" s="3" t="s">
        <v>605</v>
      </c>
      <c r="C378" s="2" t="s">
        <v>611</v>
      </c>
      <c r="D378" s="2" t="s">
        <v>107</v>
      </c>
      <c r="E378" s="2" t="s">
        <v>87</v>
      </c>
      <c r="F378" s="2" t="s">
        <v>13</v>
      </c>
      <c r="G378" s="2" t="s">
        <v>26</v>
      </c>
      <c r="H378" s="4" t="str">
        <f>HYPERLINK("https://k.sina.cn/article_6824573189_196c6b90502002fq20.html","https://k.sina.cn/article_6824573189_196c6b90502002fq20.html")</f>
        <v>https://k.sina.cn/article_6824573189_196c6b90502002fq20.html</v>
      </c>
      <c r="I378" s="3" t="s">
        <v>607</v>
      </c>
      <c r="J378" t="s">
        <v>16</v>
      </c>
    </row>
    <row r="379" ht="23" customHeight="1" spans="1:10">
      <c r="A379" s="2">
        <v>378</v>
      </c>
      <c r="B379" s="3" t="s">
        <v>608</v>
      </c>
      <c r="C379" s="2" t="s">
        <v>611</v>
      </c>
      <c r="D379" s="2" t="s">
        <v>286</v>
      </c>
      <c r="E379" s="2" t="s">
        <v>287</v>
      </c>
      <c r="F379" s="2" t="s">
        <v>13</v>
      </c>
      <c r="G379" s="2" t="s">
        <v>14</v>
      </c>
      <c r="H379" s="4" t="str">
        <f>HYPERLINK("https://www.360kuai.com/9f8190042383932c7","https://www.360kuai.com/9f8190042383932c7")</f>
        <v>https://www.360kuai.com/9f8190042383932c7</v>
      </c>
      <c r="I379" s="3" t="s">
        <v>612</v>
      </c>
      <c r="J379" t="s">
        <v>16</v>
      </c>
    </row>
    <row r="380" ht="23" customHeight="1" spans="1:10">
      <c r="A380" s="2">
        <v>379</v>
      </c>
      <c r="B380" s="3" t="s">
        <v>608</v>
      </c>
      <c r="C380" s="2" t="s">
        <v>611</v>
      </c>
      <c r="D380" s="2" t="s">
        <v>107</v>
      </c>
      <c r="E380" s="2" t="s">
        <v>108</v>
      </c>
      <c r="F380" s="2" t="s">
        <v>13</v>
      </c>
      <c r="G380" s="2" t="s">
        <v>14</v>
      </c>
      <c r="H380" s="4" t="str">
        <f>HYPERLINK("https://k.sina.cn/article_7517400647_1c0126e4705907qvds.html","https://k.sina.cn/article_7517400647_1c0126e4705907qvds.html")</f>
        <v>https://k.sina.cn/article_7517400647_1c0126e4705907qvds.html</v>
      </c>
      <c r="I380" s="3" t="s">
        <v>612</v>
      </c>
      <c r="J380" t="s">
        <v>16</v>
      </c>
    </row>
    <row r="381" ht="23" customHeight="1" spans="1:10">
      <c r="A381" s="2">
        <v>380</v>
      </c>
      <c r="B381" s="3" t="s">
        <v>613</v>
      </c>
      <c r="C381" s="2" t="s">
        <v>611</v>
      </c>
      <c r="D381" s="2" t="s">
        <v>450</v>
      </c>
      <c r="E381" s="2" t="s">
        <v>108</v>
      </c>
      <c r="F381" s="2" t="s">
        <v>37</v>
      </c>
      <c r="G381" s="2" t="s">
        <v>14</v>
      </c>
      <c r="H381" s="4" t="str">
        <f>HYPERLINK("http://m.uczzd.cn/ucnews/news?aid=2281467969017007177","http://m.uczzd.cn/ucnews/news?aid=2281467969017007177")</f>
        <v>http://m.uczzd.cn/ucnews/news?aid=2281467969017007177</v>
      </c>
      <c r="I381" s="3" t="s">
        <v>614</v>
      </c>
      <c r="J381" t="s">
        <v>16</v>
      </c>
    </row>
    <row r="382" ht="23" customHeight="1" spans="1:10">
      <c r="A382" s="2">
        <v>381</v>
      </c>
      <c r="B382" s="3" t="s">
        <v>605</v>
      </c>
      <c r="C382" s="2" t="s">
        <v>615</v>
      </c>
      <c r="D382" s="2" t="s">
        <v>41</v>
      </c>
      <c r="E382" s="2" t="s">
        <v>87</v>
      </c>
      <c r="F382" s="2" t="s">
        <v>13</v>
      </c>
      <c r="G382" s="2" t="s">
        <v>26</v>
      </c>
      <c r="H382" s="4" t="str">
        <f>HYPERLINK("https://mbd.baidu.com/newspage/data/landingshare?nid=news_10147936370922545896","https://mbd.baidu.com/newspage/data/landingshare?nid=news_10147936370922545896")</f>
        <v>https://mbd.baidu.com/newspage/data/landingshare?nid=news_10147936370922545896</v>
      </c>
      <c r="I382" s="3" t="s">
        <v>607</v>
      </c>
      <c r="J382" t="s">
        <v>16</v>
      </c>
    </row>
    <row r="383" ht="23" customHeight="1" spans="1:10">
      <c r="A383" s="2">
        <v>382</v>
      </c>
      <c r="B383" s="3" t="s">
        <v>616</v>
      </c>
      <c r="C383" s="2" t="s">
        <v>617</v>
      </c>
      <c r="D383" s="2" t="s">
        <v>46</v>
      </c>
      <c r="E383" s="2" t="s">
        <v>618</v>
      </c>
      <c r="F383" s="2" t="s">
        <v>37</v>
      </c>
      <c r="G383" s="2" t="s">
        <v>26</v>
      </c>
      <c r="H383" s="4" t="str">
        <f>HYPERLINK("https://3g.k.sohu.com/t/n944505711?serialId=819ee16af88bfafaef8c75e1bb2eaa63&amp;showType=944505711","https://3g.k.sohu.com/t/n944505711?serialId=819ee16af88bfafaef8c75e1bb2eaa63&amp;showType=944505711")</f>
        <v>https://3g.k.sohu.com/t/n944505711?serialId=819ee16af88bfafaef8c75e1bb2eaa63&amp;showType=944505711</v>
      </c>
      <c r="I383" s="3" t="s">
        <v>619</v>
      </c>
      <c r="J383" t="s">
        <v>16</v>
      </c>
    </row>
    <row r="384" ht="23" customHeight="1" spans="1:10">
      <c r="A384" s="2">
        <v>383</v>
      </c>
      <c r="B384" s="3" t="s">
        <v>620</v>
      </c>
      <c r="C384" s="2" t="s">
        <v>621</v>
      </c>
      <c r="D384" s="2" t="s">
        <v>34</v>
      </c>
      <c r="E384" s="2" t="s">
        <v>159</v>
      </c>
      <c r="F384" s="2" t="s">
        <v>13</v>
      </c>
      <c r="G384" s="2" t="s">
        <v>21</v>
      </c>
      <c r="H384" s="4" t="str">
        <f>HYPERLINK("https://kandianshare.html5.qq.com/v2/news/6777109520161229122","https://kandianshare.html5.qq.com/v2/news/6777109520161229122")</f>
        <v>https://kandianshare.html5.qq.com/v2/news/6777109520161229122</v>
      </c>
      <c r="I384" s="3" t="s">
        <v>622</v>
      </c>
      <c r="J384" t="s">
        <v>16</v>
      </c>
    </row>
    <row r="385" ht="23" customHeight="1" spans="1:10">
      <c r="A385" s="2">
        <v>384</v>
      </c>
      <c r="B385" s="3" t="s">
        <v>620</v>
      </c>
      <c r="C385" s="2" t="s">
        <v>621</v>
      </c>
      <c r="D385" s="2" t="s">
        <v>35</v>
      </c>
      <c r="E385" s="2" t="s">
        <v>159</v>
      </c>
      <c r="F385" s="2" t="s">
        <v>13</v>
      </c>
      <c r="G385" s="2" t="s">
        <v>21</v>
      </c>
      <c r="H385" s="4" t="str">
        <f>HYPERLINK("https://new.qq.com/rain/a/20251104A03Y7J00","https://new.qq.com/rain/a/20251104A03Y7J00")</f>
        <v>https://new.qq.com/rain/a/20251104A03Y7J00</v>
      </c>
      <c r="I385" s="3" t="s">
        <v>622</v>
      </c>
      <c r="J385" t="s">
        <v>16</v>
      </c>
    </row>
    <row r="386" ht="23" customHeight="1" spans="1:10">
      <c r="A386" s="2">
        <v>385</v>
      </c>
      <c r="B386" s="3" t="s">
        <v>620</v>
      </c>
      <c r="C386" s="2" t="s">
        <v>623</v>
      </c>
      <c r="D386" s="2" t="s">
        <v>40</v>
      </c>
      <c r="E386" s="2" t="s">
        <v>159</v>
      </c>
      <c r="F386" s="2" t="s">
        <v>13</v>
      </c>
      <c r="G386" s="2" t="s">
        <v>21</v>
      </c>
      <c r="H386" s="4" t="str">
        <f>HYPERLINK("https://www.yoojia.com/article/9237317722577122070.html","https://www.yoojia.com/article/9237317722577122070.html")</f>
        <v>https://www.yoojia.com/article/9237317722577122070.html</v>
      </c>
      <c r="I386" s="3" t="s">
        <v>622</v>
      </c>
      <c r="J386" t="s">
        <v>16</v>
      </c>
    </row>
    <row r="387" ht="23" customHeight="1" spans="1:10">
      <c r="A387" s="2">
        <v>386</v>
      </c>
      <c r="B387" s="3" t="s">
        <v>620</v>
      </c>
      <c r="C387" s="2" t="s">
        <v>623</v>
      </c>
      <c r="D387" s="2" t="s">
        <v>41</v>
      </c>
      <c r="E387" s="2" t="s">
        <v>159</v>
      </c>
      <c r="F387" s="2" t="s">
        <v>13</v>
      </c>
      <c r="G387" s="2" t="s">
        <v>21</v>
      </c>
      <c r="H387" s="4" t="str">
        <f>HYPERLINK("https://mbd.baidu.com/newspage/data/landingshare?nid=news_9237317722577122070","https://mbd.baidu.com/newspage/data/landingshare?nid=news_9237317722577122070")</f>
        <v>https://mbd.baidu.com/newspage/data/landingshare?nid=news_9237317722577122070</v>
      </c>
      <c r="I387" s="3" t="s">
        <v>622</v>
      </c>
      <c r="J387" t="s">
        <v>16</v>
      </c>
    </row>
    <row r="388" ht="23" customHeight="1" spans="1:10">
      <c r="A388" s="2">
        <v>387</v>
      </c>
      <c r="B388" s="3" t="s">
        <v>620</v>
      </c>
      <c r="C388" s="2" t="s">
        <v>624</v>
      </c>
      <c r="D388" s="2" t="s">
        <v>159</v>
      </c>
      <c r="E388" s="2" t="s">
        <v>164</v>
      </c>
      <c r="F388" s="2" t="s">
        <v>13</v>
      </c>
      <c r="G388" s="2" t="s">
        <v>21</v>
      </c>
      <c r="H388" s="4" t="str">
        <f>HYPERLINK("https://static.zhoudaosh.com/files/cnews/2025/20251104/A3B5CE71CD69369EB8BAD0B99963E19CFDCA7661F1689916F4854136A24AA344/1.html","https://static.zhoudaosh.com/files/cnews/2025/20251104/A3B5CE71CD69369EB8BAD0B99963E19CFDCA7661F1689916F4854136A24AA344/1.html")</f>
        <v>https://static.zhoudaosh.com/files/cnews/2025/20251104/A3B5CE71CD69369EB8BAD0B99963E19CFDCA7661F1689916F4854136A24AA344/1.html</v>
      </c>
      <c r="I388" s="3" t="s">
        <v>622</v>
      </c>
      <c r="J388" t="s">
        <v>16</v>
      </c>
    </row>
    <row r="389" ht="23" customHeight="1" spans="1:10">
      <c r="A389" s="2">
        <v>388</v>
      </c>
      <c r="B389" s="3" t="s">
        <v>625</v>
      </c>
      <c r="C389" s="2" t="s">
        <v>626</v>
      </c>
      <c r="D389" s="2" t="s">
        <v>34</v>
      </c>
      <c r="E389" s="2" t="s">
        <v>159</v>
      </c>
      <c r="F389" s="2" t="s">
        <v>13</v>
      </c>
      <c r="G389" s="2" t="s">
        <v>21</v>
      </c>
      <c r="H389" s="4" t="str">
        <f>HYPERLINK("https://kandianshare.html5.qq.com/v2/news/2201452281799817538","https://kandianshare.html5.qq.com/v2/news/2201452281799817538")</f>
        <v>https://kandianshare.html5.qq.com/v2/news/2201452281799817538</v>
      </c>
      <c r="I389" s="3" t="s">
        <v>627</v>
      </c>
      <c r="J389" t="s">
        <v>16</v>
      </c>
    </row>
    <row r="390" ht="23" customHeight="1" spans="1:10">
      <c r="A390" s="2">
        <v>389</v>
      </c>
      <c r="B390" s="3" t="s">
        <v>625</v>
      </c>
      <c r="C390" s="2" t="s">
        <v>626</v>
      </c>
      <c r="D390" s="2" t="s">
        <v>35</v>
      </c>
      <c r="E390" s="2" t="s">
        <v>159</v>
      </c>
      <c r="F390" s="2" t="s">
        <v>13</v>
      </c>
      <c r="G390" s="2" t="s">
        <v>21</v>
      </c>
      <c r="H390" s="4" t="str">
        <f>HYPERLINK("https://new.qq.com/rain/a/20251104A039JB00","https://new.qq.com/rain/a/20251104A039JB00")</f>
        <v>https://new.qq.com/rain/a/20251104A039JB00</v>
      </c>
      <c r="I390" s="3" t="s">
        <v>627</v>
      </c>
      <c r="J390" t="s">
        <v>16</v>
      </c>
    </row>
    <row r="391" ht="23" customHeight="1" spans="1:10">
      <c r="A391" s="2">
        <v>390</v>
      </c>
      <c r="B391" s="3" t="s">
        <v>628</v>
      </c>
      <c r="C391" s="2" t="s">
        <v>629</v>
      </c>
      <c r="D391" s="2" t="s">
        <v>40</v>
      </c>
      <c r="E391" s="2" t="s">
        <v>159</v>
      </c>
      <c r="F391" s="2" t="s">
        <v>13</v>
      </c>
      <c r="G391" s="2" t="s">
        <v>21</v>
      </c>
      <c r="H391" s="4" t="str">
        <f>HYPERLINK("https://www.yoojia.com/article/9561032770748603748.html","https://www.yoojia.com/article/9561032770748603748.html")</f>
        <v>https://www.yoojia.com/article/9561032770748603748.html</v>
      </c>
      <c r="I391" s="3" t="s">
        <v>630</v>
      </c>
      <c r="J391" t="s">
        <v>16</v>
      </c>
    </row>
    <row r="392" ht="23" customHeight="1" spans="1:10">
      <c r="A392" s="2">
        <v>391</v>
      </c>
      <c r="B392" s="3" t="s">
        <v>628</v>
      </c>
      <c r="C392" s="2" t="s">
        <v>629</v>
      </c>
      <c r="D392" s="2" t="s">
        <v>41</v>
      </c>
      <c r="E392" s="2" t="s">
        <v>159</v>
      </c>
      <c r="F392" s="2" t="s">
        <v>13</v>
      </c>
      <c r="G392" s="2" t="s">
        <v>21</v>
      </c>
      <c r="H392" s="4" t="str">
        <f>HYPERLINK("https://mbd.baidu.com/newspage/data/landingshare?nid=news_9561032770748603748","https://mbd.baidu.com/newspage/data/landingshare?nid=news_9561032770748603748")</f>
        <v>https://mbd.baidu.com/newspage/data/landingshare?nid=news_9561032770748603748</v>
      </c>
      <c r="I392" s="3" t="s">
        <v>630</v>
      </c>
      <c r="J392" t="s">
        <v>16</v>
      </c>
    </row>
    <row r="393" ht="23" customHeight="1" spans="1:10">
      <c r="A393" s="2">
        <v>392</v>
      </c>
      <c r="B393" s="3" t="s">
        <v>625</v>
      </c>
      <c r="C393" s="2" t="s">
        <v>631</v>
      </c>
      <c r="D393" s="2" t="s">
        <v>159</v>
      </c>
      <c r="E393" s="2" t="s">
        <v>632</v>
      </c>
      <c r="F393" s="2" t="s">
        <v>13</v>
      </c>
      <c r="G393" s="2" t="s">
        <v>21</v>
      </c>
      <c r="H393" s="4" t="str">
        <f>HYPERLINK("https://static.zhoudaosh.com/files/cnews/2025/20251104/F737F5ECF2DD838ED9F9581FD348AEABDE40549B0308A3191BEE9BD4871E4930/5.html","https://static.zhoudaosh.com/files/cnews/2025/20251104/F737F5ECF2DD838ED9F9581FD348AEABDE40549B0308A3191BEE9BD4871E4930/5.html")</f>
        <v>https://static.zhoudaosh.com/files/cnews/2025/20251104/F737F5ECF2DD838ED9F9581FD348AEABDE40549B0308A3191BEE9BD4871E4930/5.html</v>
      </c>
      <c r="I393" s="3" t="s">
        <v>630</v>
      </c>
      <c r="J393" t="s">
        <v>16</v>
      </c>
    </row>
    <row r="394" ht="23" customHeight="1" spans="1:10">
      <c r="A394" s="2">
        <v>393</v>
      </c>
      <c r="B394" s="3" t="s">
        <v>633</v>
      </c>
      <c r="C394" s="2" t="s">
        <v>634</v>
      </c>
      <c r="D394" s="2" t="s">
        <v>635</v>
      </c>
      <c r="E394" s="2" t="s">
        <v>132</v>
      </c>
      <c r="F394" s="2" t="s">
        <v>13</v>
      </c>
      <c r="G394" s="2" t="s">
        <v>26</v>
      </c>
      <c r="H394" s="4" t="str">
        <f>HYPERLINK("http://www.myzaker.com/article/6908b1238e9f0940a85d4173","http://www.myzaker.com/article/6908b1238e9f0940a85d4173")</f>
        <v>http://www.myzaker.com/article/6908b1238e9f0940a85d4173</v>
      </c>
      <c r="I394" s="3" t="s">
        <v>636</v>
      </c>
      <c r="J394" t="s">
        <v>16</v>
      </c>
    </row>
    <row r="395" ht="23" customHeight="1" spans="1:10">
      <c r="A395" s="2">
        <v>394</v>
      </c>
      <c r="B395" s="3" t="s">
        <v>633</v>
      </c>
      <c r="C395" s="2" t="s">
        <v>637</v>
      </c>
      <c r="D395" s="2" t="s">
        <v>20</v>
      </c>
      <c r="E395" s="2" t="s">
        <v>638</v>
      </c>
      <c r="F395" s="2" t="s">
        <v>37</v>
      </c>
      <c r="G395" s="2" t="s">
        <v>21</v>
      </c>
      <c r="H395" s="4" t="str">
        <f>HYPERLINK("https://www.shobserver.com/staticsg/res/html/web/newsDetail.html?id=1011524","https://www.shobserver.com/staticsg/res/html/web/newsDetail.html?id=1011524")</f>
        <v>https://www.shobserver.com/staticsg/res/html/web/newsDetail.html?id=1011524</v>
      </c>
      <c r="I395" s="3" t="s">
        <v>639</v>
      </c>
      <c r="J395" t="s">
        <v>16</v>
      </c>
    </row>
    <row r="396" ht="23" customHeight="1" spans="1:10">
      <c r="A396" s="2">
        <v>395</v>
      </c>
      <c r="B396" s="3" t="s">
        <v>633</v>
      </c>
      <c r="C396" s="2" t="s">
        <v>640</v>
      </c>
      <c r="D396" s="2" t="s">
        <v>11</v>
      </c>
      <c r="E396" s="2" t="s">
        <v>132</v>
      </c>
      <c r="F396" s="2" t="s">
        <v>13</v>
      </c>
      <c r="G396" s="2" t="s">
        <v>26</v>
      </c>
      <c r="H396" s="4" t="str">
        <f>HYPERLINK("https://www.toutiao.com/article/7568494658226061851/","https://www.toutiao.com/article/7568494658226061851/")</f>
        <v>https://www.toutiao.com/article/7568494658226061851/</v>
      </c>
      <c r="I396" s="3" t="s">
        <v>641</v>
      </c>
      <c r="J396" t="s">
        <v>16</v>
      </c>
    </row>
    <row r="397" ht="23" customHeight="1" spans="1:10">
      <c r="A397" s="2">
        <v>396</v>
      </c>
      <c r="B397" s="3" t="s">
        <v>633</v>
      </c>
      <c r="C397" s="2" t="s">
        <v>642</v>
      </c>
      <c r="D397" s="2" t="s">
        <v>11</v>
      </c>
      <c r="E397" s="2" t="s">
        <v>20</v>
      </c>
      <c r="F397" s="2" t="s">
        <v>13</v>
      </c>
      <c r="G397" s="2" t="s">
        <v>21</v>
      </c>
      <c r="H397" s="4" t="str">
        <f>HYPERLINK("https://www.toutiao.com/article/7568493993542156809/","https://www.toutiao.com/article/7568493993542156809/")</f>
        <v>https://www.toutiao.com/article/7568493993542156809/</v>
      </c>
      <c r="I397" s="3" t="s">
        <v>641</v>
      </c>
      <c r="J397" t="s">
        <v>16</v>
      </c>
    </row>
    <row r="398" ht="23" customHeight="1" spans="1:10">
      <c r="A398" s="2">
        <v>397</v>
      </c>
      <c r="B398" s="3" t="s">
        <v>633</v>
      </c>
      <c r="C398" s="2" t="s">
        <v>643</v>
      </c>
      <c r="D398" s="2" t="s">
        <v>19</v>
      </c>
      <c r="E398" s="2" t="s">
        <v>135</v>
      </c>
      <c r="F398" s="2" t="s">
        <v>13</v>
      </c>
      <c r="G398" s="2" t="s">
        <v>21</v>
      </c>
      <c r="H398" s="4" t="str">
        <f>HYPERLINK("https://c.m.163.com/news/a/KDFJISR105506BEH.html","https://c.m.163.com/news/a/KDFJISR105506BEH.html")</f>
        <v>https://c.m.163.com/news/a/KDFJISR105506BEH.html</v>
      </c>
      <c r="I398" s="3" t="s">
        <v>639</v>
      </c>
      <c r="J398" t="s">
        <v>16</v>
      </c>
    </row>
    <row r="399" ht="23" customHeight="1" spans="1:10">
      <c r="A399" s="2">
        <v>398</v>
      </c>
      <c r="B399" s="3" t="s">
        <v>633</v>
      </c>
      <c r="C399" s="2" t="s">
        <v>644</v>
      </c>
      <c r="D399" s="2" t="s">
        <v>34</v>
      </c>
      <c r="E399" s="2" t="s">
        <v>20</v>
      </c>
      <c r="F399" s="2" t="s">
        <v>13</v>
      </c>
      <c r="G399" s="2" t="s">
        <v>21</v>
      </c>
      <c r="H399" s="4" t="str">
        <f>HYPERLINK("https://kandianshare.html5.qq.com/v2/news/8713657233095186754","https://kandianshare.html5.qq.com/v2/news/8713657233095186754")</f>
        <v>https://kandianshare.html5.qq.com/v2/news/8713657233095186754</v>
      </c>
      <c r="I399" s="3" t="s">
        <v>639</v>
      </c>
      <c r="J399" t="s">
        <v>16</v>
      </c>
    </row>
    <row r="400" ht="23" customHeight="1" spans="1:10">
      <c r="A400" s="2">
        <v>399</v>
      </c>
      <c r="B400" s="3" t="s">
        <v>633</v>
      </c>
      <c r="C400" s="2" t="s">
        <v>644</v>
      </c>
      <c r="D400" s="2" t="s">
        <v>35</v>
      </c>
      <c r="E400" s="2" t="s">
        <v>20</v>
      </c>
      <c r="F400" s="2" t="s">
        <v>13</v>
      </c>
      <c r="G400" s="2" t="s">
        <v>21</v>
      </c>
      <c r="H400" s="4" t="str">
        <f>HYPERLINK("https://new.qq.com/rain/a/20251103A0607F00","https://new.qq.com/rain/a/20251103A0607F00")</f>
        <v>https://new.qq.com/rain/a/20251103A0607F00</v>
      </c>
      <c r="I400" s="3" t="s">
        <v>639</v>
      </c>
      <c r="J400" t="s">
        <v>16</v>
      </c>
    </row>
    <row r="401" ht="23" customHeight="1" spans="1:10">
      <c r="A401" s="2">
        <v>400</v>
      </c>
      <c r="B401" s="3" t="s">
        <v>633</v>
      </c>
      <c r="C401" s="2" t="s">
        <v>645</v>
      </c>
      <c r="D401" s="2" t="s">
        <v>41</v>
      </c>
      <c r="E401" s="2" t="s">
        <v>20</v>
      </c>
      <c r="F401" s="2" t="s">
        <v>13</v>
      </c>
      <c r="G401" s="2" t="s">
        <v>21</v>
      </c>
      <c r="H401" s="4" t="str">
        <f>HYPERLINK("https://mbd.baidu.com/newspage/data/landingshare?nid=news_9936390690350191914","https://mbd.baidu.com/newspage/data/landingshare?nid=news_9936390690350191914")</f>
        <v>https://mbd.baidu.com/newspage/data/landingshare?nid=news_9936390690350191914</v>
      </c>
      <c r="I401" s="3" t="s">
        <v>641</v>
      </c>
      <c r="J401" t="s">
        <v>16</v>
      </c>
    </row>
    <row r="402" ht="23" customHeight="1" spans="1:10">
      <c r="A402" s="2">
        <v>401</v>
      </c>
      <c r="B402" s="3" t="s">
        <v>633</v>
      </c>
      <c r="C402" s="2" t="s">
        <v>645</v>
      </c>
      <c r="D402" s="2" t="s">
        <v>40</v>
      </c>
      <c r="E402" s="2" t="s">
        <v>20</v>
      </c>
      <c r="F402" s="2" t="s">
        <v>13</v>
      </c>
      <c r="G402" s="2" t="s">
        <v>21</v>
      </c>
      <c r="H402" s="4" t="str">
        <f>HYPERLINK("https://www.yoojia.com/article/9936390690350191914.html","https://www.yoojia.com/article/9936390690350191914.html")</f>
        <v>https://www.yoojia.com/article/9936390690350191914.html</v>
      </c>
      <c r="I402" s="3" t="s">
        <v>641</v>
      </c>
      <c r="J402" t="s">
        <v>16</v>
      </c>
    </row>
    <row r="403" ht="23" customHeight="1" spans="1:10">
      <c r="A403" s="2">
        <v>402</v>
      </c>
      <c r="B403" s="3" t="s">
        <v>633</v>
      </c>
      <c r="C403" s="2" t="s">
        <v>646</v>
      </c>
      <c r="D403" s="2" t="s">
        <v>43</v>
      </c>
      <c r="E403" s="2" t="s">
        <v>638</v>
      </c>
      <c r="F403" s="2" t="s">
        <v>13</v>
      </c>
      <c r="G403" s="2" t="s">
        <v>21</v>
      </c>
      <c r="H403" s="4" t="str">
        <f>HYPERLINK("https://www.jfdaily.com.cn/staticsg/res/html/web/newsDetail.html?id=1011524","https://www.jfdaily.com.cn/staticsg/res/html/web/newsDetail.html?id=1011524")</f>
        <v>https://www.jfdaily.com.cn/staticsg/res/html/web/newsDetail.html?id=1011524</v>
      </c>
      <c r="I403" s="3" t="s">
        <v>639</v>
      </c>
      <c r="J403" t="s">
        <v>16</v>
      </c>
    </row>
    <row r="404" ht="23" customHeight="1" spans="1:10">
      <c r="A404" s="2">
        <v>403</v>
      </c>
      <c r="B404" s="3" t="s">
        <v>633</v>
      </c>
      <c r="C404" s="2" t="s">
        <v>646</v>
      </c>
      <c r="D404" s="2" t="s">
        <v>647</v>
      </c>
      <c r="E404" s="2" t="s">
        <v>132</v>
      </c>
      <c r="F404" s="2" t="s">
        <v>37</v>
      </c>
      <c r="G404" s="2" t="s">
        <v>26</v>
      </c>
      <c r="H404" s="4" t="str">
        <f>HYPERLINK("https://app.myzaker.com/news/article.php?pk=6908b1238e9f0940a85d4173","https://app.myzaker.com/news/article.php?pk=6908b1238e9f0940a85d4173")</f>
        <v>https://app.myzaker.com/news/article.php?pk=6908b1238e9f0940a85d4173</v>
      </c>
      <c r="I404" s="3" t="s">
        <v>636</v>
      </c>
      <c r="J404" t="s">
        <v>16</v>
      </c>
    </row>
    <row r="405" ht="23" customHeight="1" spans="1:10">
      <c r="A405" s="2">
        <v>404</v>
      </c>
      <c r="B405" s="3" t="s">
        <v>633</v>
      </c>
      <c r="C405" s="2" t="s">
        <v>648</v>
      </c>
      <c r="D405" s="2" t="s">
        <v>43</v>
      </c>
      <c r="E405" s="2" t="s">
        <v>638</v>
      </c>
      <c r="F405" s="2" t="s">
        <v>13</v>
      </c>
      <c r="G405" s="2" t="s">
        <v>21</v>
      </c>
      <c r="H405" s="4" t="str">
        <f>HYPERLINK("https://www.jfdaily.com/staticsg/res/html/web/newsDetail.html?id=1011524","https://www.jfdaily.com/staticsg/res/html/web/newsDetail.html?id=1011524")</f>
        <v>https://www.jfdaily.com/staticsg/res/html/web/newsDetail.html?id=1011524</v>
      </c>
      <c r="I405" s="3" t="s">
        <v>639</v>
      </c>
      <c r="J405" t="s">
        <v>16</v>
      </c>
    </row>
    <row r="406" ht="23" customHeight="1" spans="1:10">
      <c r="A406" s="2">
        <v>405</v>
      </c>
      <c r="B406" s="3" t="s">
        <v>633</v>
      </c>
      <c r="C406" s="2" t="s">
        <v>648</v>
      </c>
      <c r="D406" s="2" t="s">
        <v>40</v>
      </c>
      <c r="E406" s="2" t="s">
        <v>135</v>
      </c>
      <c r="F406" s="2" t="s">
        <v>13</v>
      </c>
      <c r="G406" s="2" t="s">
        <v>21</v>
      </c>
      <c r="H406" s="4" t="str">
        <f>HYPERLINK("https://www.yoojia.com/article/9827561158188493259.html","https://www.yoojia.com/article/9827561158188493259.html")</f>
        <v>https://www.yoojia.com/article/9827561158188493259.html</v>
      </c>
      <c r="I406" s="3" t="s">
        <v>641</v>
      </c>
      <c r="J406" t="s">
        <v>16</v>
      </c>
    </row>
    <row r="407" ht="23" customHeight="1" spans="1:10">
      <c r="A407" s="2">
        <v>406</v>
      </c>
      <c r="B407" s="3" t="s">
        <v>633</v>
      </c>
      <c r="C407" s="2" t="s">
        <v>648</v>
      </c>
      <c r="D407" s="2" t="s">
        <v>46</v>
      </c>
      <c r="E407" s="2" t="s">
        <v>135</v>
      </c>
      <c r="F407" s="2" t="s">
        <v>37</v>
      </c>
      <c r="G407" s="2" t="s">
        <v>21</v>
      </c>
      <c r="H407" s="4" t="str">
        <f>HYPERLINK("https://3g.k.sohu.com/t/n944152073?serialId=4ed16bbc7d48e56f348bf53f6b9b783c&amp;showType=944152073","https://3g.k.sohu.com/t/n944152073?serialId=4ed16bbc7d48e56f348bf53f6b9b783c&amp;showType=944152073")</f>
        <v>https://3g.k.sohu.com/t/n944152073?serialId=4ed16bbc7d48e56f348bf53f6b9b783c&amp;showType=944152073</v>
      </c>
      <c r="I407" s="3" t="s">
        <v>639</v>
      </c>
      <c r="J407" t="s">
        <v>16</v>
      </c>
    </row>
    <row r="408" ht="23" customHeight="1" spans="1:10">
      <c r="A408" s="2">
        <v>407</v>
      </c>
      <c r="B408" s="3" t="s">
        <v>633</v>
      </c>
      <c r="C408" s="2" t="s">
        <v>648</v>
      </c>
      <c r="D408" s="2" t="s">
        <v>43</v>
      </c>
      <c r="E408" s="2" t="s">
        <v>43</v>
      </c>
      <c r="F408" s="2" t="s">
        <v>37</v>
      </c>
      <c r="G408" s="2" t="s">
        <v>21</v>
      </c>
      <c r="H408" s="4" t="str">
        <f>HYPERLINK("https://export.shobserver.com/baijiahao/html/1011524.html","https://export.shobserver.com/baijiahao/html/1011524.html")</f>
        <v>https://export.shobserver.com/baijiahao/html/1011524.html</v>
      </c>
      <c r="I408" s="3" t="s">
        <v>639</v>
      </c>
      <c r="J408" t="s">
        <v>16</v>
      </c>
    </row>
    <row r="409" ht="23" customHeight="1" spans="1:10">
      <c r="A409" s="2">
        <v>408</v>
      </c>
      <c r="B409" s="3" t="s">
        <v>633</v>
      </c>
      <c r="C409" s="2" t="s">
        <v>648</v>
      </c>
      <c r="D409" s="2" t="s">
        <v>491</v>
      </c>
      <c r="E409" s="2" t="s">
        <v>649</v>
      </c>
      <c r="F409" s="2" t="s">
        <v>13</v>
      </c>
      <c r="G409" s="2" t="s">
        <v>21</v>
      </c>
      <c r="H409" s="4" t="str">
        <f>HYPERLINK("https://ishare.ifeng.com/c/s/8nzJptMffr0","https://ishare.ifeng.com/c/s/8nzJptMffr0")</f>
        <v>https://ishare.ifeng.com/c/s/8nzJptMffr0</v>
      </c>
      <c r="I409" s="3" t="s">
        <v>639</v>
      </c>
      <c r="J409" t="s">
        <v>16</v>
      </c>
    </row>
    <row r="410" ht="23" customHeight="1" spans="1:10">
      <c r="A410" s="2">
        <v>409</v>
      </c>
      <c r="B410" s="3" t="s">
        <v>633</v>
      </c>
      <c r="C410" s="2" t="s">
        <v>648</v>
      </c>
      <c r="D410" s="2" t="s">
        <v>41</v>
      </c>
      <c r="E410" s="2" t="s">
        <v>135</v>
      </c>
      <c r="F410" s="2" t="s">
        <v>13</v>
      </c>
      <c r="G410" s="2" t="s">
        <v>21</v>
      </c>
      <c r="H410" s="4" t="str">
        <f>HYPERLINK("https://mbd.baidu.com/newspage/data/landingshare?nid=news_9827561158188493259","https://mbd.baidu.com/newspage/data/landingshare?nid=news_9827561158188493259")</f>
        <v>https://mbd.baidu.com/newspage/data/landingshare?nid=news_9827561158188493259</v>
      </c>
      <c r="I410" s="3" t="s">
        <v>641</v>
      </c>
      <c r="J410" t="s">
        <v>16</v>
      </c>
    </row>
    <row r="411" ht="23" customHeight="1" spans="1:10">
      <c r="A411" s="2">
        <v>410</v>
      </c>
      <c r="B411" s="3" t="s">
        <v>633</v>
      </c>
      <c r="C411" s="2" t="s">
        <v>648</v>
      </c>
      <c r="D411" s="2" t="s">
        <v>46</v>
      </c>
      <c r="E411" s="2" t="s">
        <v>135</v>
      </c>
      <c r="F411" s="2" t="s">
        <v>13</v>
      </c>
      <c r="G411" s="2" t="s">
        <v>21</v>
      </c>
      <c r="H411" s="4" t="str">
        <f>HYPERLINK("https://www.sohu.com/a/950558214_120244154","https://www.sohu.com/a/950558214_120244154")</f>
        <v>https://www.sohu.com/a/950558214_120244154</v>
      </c>
      <c r="I411" s="3" t="s">
        <v>639</v>
      </c>
      <c r="J411" t="s">
        <v>16</v>
      </c>
    </row>
    <row r="412" ht="23" customHeight="1" spans="1:10">
      <c r="A412" s="2">
        <v>411</v>
      </c>
      <c r="B412" s="3" t="s">
        <v>633</v>
      </c>
      <c r="C412" s="2" t="s">
        <v>648</v>
      </c>
      <c r="D412" s="2" t="s">
        <v>491</v>
      </c>
      <c r="E412" s="2" t="s">
        <v>649</v>
      </c>
      <c r="F412" s="2" t="s">
        <v>37</v>
      </c>
      <c r="G412" s="2" t="s">
        <v>21</v>
      </c>
      <c r="H412" s="4" t="str">
        <f>HYPERLINK("https://ishare.ifeng.com/c/s/v002uEVKFyJY0ttMT-_RkRHMbXHS9vYAdtUvdlOy9mzxIQiE__","https://ishare.ifeng.com/c/s/v002uEVKFyJY0ttMT-_RkRHMbXHS9vYAdtUvdlOy9mzxIQiE__")</f>
        <v>https://ishare.ifeng.com/c/s/v002uEVKFyJY0ttMT-_RkRHMbXHS9vYAdtUvdlOy9mzxIQiE__</v>
      </c>
      <c r="I412" s="3" t="s">
        <v>639</v>
      </c>
      <c r="J412" t="s">
        <v>16</v>
      </c>
    </row>
    <row r="413" ht="23" customHeight="1" spans="1:10">
      <c r="A413" s="2">
        <v>412</v>
      </c>
      <c r="B413" s="3" t="s">
        <v>633</v>
      </c>
      <c r="C413" s="2" t="s">
        <v>650</v>
      </c>
      <c r="D413" s="2" t="s">
        <v>19</v>
      </c>
      <c r="E413" s="2" t="s">
        <v>20</v>
      </c>
      <c r="F413" s="2" t="s">
        <v>13</v>
      </c>
      <c r="G413" s="2" t="s">
        <v>21</v>
      </c>
      <c r="H413" s="4" t="str">
        <f>HYPERLINK("https://c.m.163.com/news/a/KDF7EK0E055040N3.html","https://c.m.163.com/news/a/KDF7EK0E055040N3.html")</f>
        <v>https://c.m.163.com/news/a/KDF7EK0E055040N3.html</v>
      </c>
      <c r="I413" s="3" t="s">
        <v>651</v>
      </c>
      <c r="J413" t="s">
        <v>16</v>
      </c>
    </row>
    <row r="414" ht="23" customHeight="1" spans="1:10">
      <c r="A414" s="2">
        <v>413</v>
      </c>
      <c r="B414" s="3" t="s">
        <v>633</v>
      </c>
      <c r="C414" s="2" t="s">
        <v>652</v>
      </c>
      <c r="D414" s="2" t="s">
        <v>11</v>
      </c>
      <c r="E414" s="2" t="s">
        <v>32</v>
      </c>
      <c r="F414" s="2" t="s">
        <v>13</v>
      </c>
      <c r="G414" s="2" t="s">
        <v>21</v>
      </c>
      <c r="H414" s="4" t="str">
        <f>HYPERLINK("https://www.toutiao.com/article/7568435776329974298/","https://www.toutiao.com/article/7568435776329974298/")</f>
        <v>https://www.toutiao.com/article/7568435776329974298/</v>
      </c>
      <c r="I414" s="3" t="s">
        <v>653</v>
      </c>
      <c r="J414" t="s">
        <v>16</v>
      </c>
    </row>
    <row r="415" ht="23" customHeight="1" spans="1:10">
      <c r="A415" s="2">
        <v>414</v>
      </c>
      <c r="B415" s="3" t="s">
        <v>633</v>
      </c>
      <c r="C415" s="2" t="s">
        <v>654</v>
      </c>
      <c r="D415" s="2" t="s">
        <v>41</v>
      </c>
      <c r="E415" s="2" t="s">
        <v>32</v>
      </c>
      <c r="F415" s="2" t="s">
        <v>13</v>
      </c>
      <c r="G415" s="2" t="s">
        <v>21</v>
      </c>
      <c r="H415" s="4" t="str">
        <f>HYPERLINK("https://mbd.baidu.com/newspage/data/landingshare?nid=news_9553584232299395782","https://mbd.baidu.com/newspage/data/landingshare?nid=news_9553584232299395782")</f>
        <v>https://mbd.baidu.com/newspage/data/landingshare?nid=news_9553584232299395782</v>
      </c>
      <c r="I415" s="3" t="s">
        <v>653</v>
      </c>
      <c r="J415" t="s">
        <v>16</v>
      </c>
    </row>
    <row r="416" ht="23" customHeight="1" spans="1:10">
      <c r="A416" s="2">
        <v>415</v>
      </c>
      <c r="B416" s="3" t="s">
        <v>633</v>
      </c>
      <c r="C416" s="2" t="s">
        <v>654</v>
      </c>
      <c r="D416" s="2" t="s">
        <v>40</v>
      </c>
      <c r="E416" s="2" t="s">
        <v>32</v>
      </c>
      <c r="F416" s="2" t="s">
        <v>13</v>
      </c>
      <c r="G416" s="2" t="s">
        <v>21</v>
      </c>
      <c r="H416" s="4" t="str">
        <f>HYPERLINK("https://www.yoojia.com/article/9553584232299395782.html","https://www.yoojia.com/article/9553584232299395782.html")</f>
        <v>https://www.yoojia.com/article/9553584232299395782.html</v>
      </c>
      <c r="I416" s="3" t="s">
        <v>653</v>
      </c>
      <c r="J416" t="s">
        <v>16</v>
      </c>
    </row>
    <row r="417" ht="23" customHeight="1" spans="1:10">
      <c r="A417" s="2">
        <v>416</v>
      </c>
      <c r="B417" s="3" t="s">
        <v>633</v>
      </c>
      <c r="C417" s="2" t="s">
        <v>655</v>
      </c>
      <c r="D417" s="2" t="s">
        <v>20</v>
      </c>
      <c r="E417" s="2" t="s">
        <v>656</v>
      </c>
      <c r="F417" s="2" t="s">
        <v>37</v>
      </c>
      <c r="G417" s="2" t="s">
        <v>21</v>
      </c>
      <c r="H417" s="4" t="str">
        <f>HYPERLINK("https://www.shobserver.com/staticsg/res/html/web/newsDetail.html?id=1011384","https://www.shobserver.com/staticsg/res/html/web/newsDetail.html?id=1011384")</f>
        <v>https://www.shobserver.com/staticsg/res/html/web/newsDetail.html?id=1011384</v>
      </c>
      <c r="I417" s="3" t="s">
        <v>651</v>
      </c>
      <c r="J417" t="s">
        <v>16</v>
      </c>
    </row>
    <row r="418" ht="23" customHeight="1" spans="1:10">
      <c r="A418" s="2">
        <v>417</v>
      </c>
      <c r="B418" s="3" t="s">
        <v>633</v>
      </c>
      <c r="C418" s="2" t="s">
        <v>657</v>
      </c>
      <c r="D418" s="2" t="s">
        <v>29</v>
      </c>
      <c r="E418" s="2" t="s">
        <v>30</v>
      </c>
      <c r="F418" s="2" t="s">
        <v>13</v>
      </c>
      <c r="G418" s="2" t="s">
        <v>26</v>
      </c>
      <c r="H418" s="4" t="str">
        <f>HYPERLINK("https://finance.sina.cn/2025-11-03/detail-infwckpt1349698.d.html","https://finance.sina.cn/2025-11-03/detail-infwckpt1349698.d.html")</f>
        <v>https://finance.sina.cn/2025-11-03/detail-infwckpt1349698.d.html</v>
      </c>
      <c r="I418" s="3" t="s">
        <v>653</v>
      </c>
      <c r="J418" t="s">
        <v>16</v>
      </c>
    </row>
    <row r="419" ht="23" customHeight="1" spans="1:10">
      <c r="A419" s="2">
        <v>418</v>
      </c>
      <c r="B419" s="3" t="s">
        <v>633</v>
      </c>
      <c r="C419" s="2" t="s">
        <v>657</v>
      </c>
      <c r="D419" s="2" t="s">
        <v>11</v>
      </c>
      <c r="E419" s="2" t="s">
        <v>20</v>
      </c>
      <c r="F419" s="2" t="s">
        <v>13</v>
      </c>
      <c r="G419" s="2" t="s">
        <v>21</v>
      </c>
      <c r="H419" s="4" t="str">
        <f>HYPERLINK("https://www.toutiao.com/article/7568433420511101475/","https://www.toutiao.com/article/7568433420511101475/")</f>
        <v>https://www.toutiao.com/article/7568433420511101475/</v>
      </c>
      <c r="I419" s="3" t="s">
        <v>653</v>
      </c>
      <c r="J419" t="s">
        <v>16</v>
      </c>
    </row>
    <row r="420" ht="23" customHeight="1" spans="1:10">
      <c r="A420" s="2">
        <v>419</v>
      </c>
      <c r="B420" s="3" t="s">
        <v>633</v>
      </c>
      <c r="C420" s="2" t="s">
        <v>658</v>
      </c>
      <c r="D420" s="2" t="s">
        <v>34</v>
      </c>
      <c r="E420" s="2" t="s">
        <v>20</v>
      </c>
      <c r="F420" s="2" t="s">
        <v>13</v>
      </c>
      <c r="G420" s="2" t="s">
        <v>21</v>
      </c>
      <c r="H420" s="4" t="str">
        <f>HYPERLINK("https://kandianshare.html5.qq.com/v2/news/4372187163207872834","https://kandianshare.html5.qq.com/v2/news/4372187163207872834")</f>
        <v>https://kandianshare.html5.qq.com/v2/news/4372187163207872834</v>
      </c>
      <c r="I420" s="3" t="s">
        <v>651</v>
      </c>
      <c r="J420" t="s">
        <v>16</v>
      </c>
    </row>
    <row r="421" ht="23" customHeight="1" spans="1:10">
      <c r="A421" s="2">
        <v>420</v>
      </c>
      <c r="B421" s="3" t="s">
        <v>633</v>
      </c>
      <c r="C421" s="2" t="s">
        <v>658</v>
      </c>
      <c r="D421" s="2" t="s">
        <v>35</v>
      </c>
      <c r="E421" s="2" t="s">
        <v>20</v>
      </c>
      <c r="F421" s="2" t="s">
        <v>13</v>
      </c>
      <c r="G421" s="2" t="s">
        <v>21</v>
      </c>
      <c r="H421" s="4" t="str">
        <f>HYPERLINK("https://new.qq.com/rain/a/20251103A050PY00","https://new.qq.com/rain/a/20251103A050PY00")</f>
        <v>https://new.qq.com/rain/a/20251103A050PY00</v>
      </c>
      <c r="I421" s="3" t="s">
        <v>651</v>
      </c>
      <c r="J421" t="s">
        <v>16</v>
      </c>
    </row>
    <row r="422" ht="23" customHeight="1" spans="1:10">
      <c r="A422" s="2">
        <v>421</v>
      </c>
      <c r="B422" s="3" t="s">
        <v>633</v>
      </c>
      <c r="C422" s="2" t="s">
        <v>659</v>
      </c>
      <c r="D422" s="2" t="s">
        <v>43</v>
      </c>
      <c r="E422" s="2" t="s">
        <v>656</v>
      </c>
      <c r="F422" s="2" t="s">
        <v>13</v>
      </c>
      <c r="G422" s="2" t="s">
        <v>21</v>
      </c>
      <c r="H422" s="4" t="str">
        <f>HYPERLINK("https://www.jfdaily.com.cn/staticsg/res/html/web/newsDetail.html?id=1011384","https://www.jfdaily.com.cn/staticsg/res/html/web/newsDetail.html?id=1011384")</f>
        <v>https://www.jfdaily.com.cn/staticsg/res/html/web/newsDetail.html?id=1011384</v>
      </c>
      <c r="I422" s="3" t="s">
        <v>651</v>
      </c>
      <c r="J422" t="s">
        <v>16</v>
      </c>
    </row>
    <row r="423" ht="23" customHeight="1" spans="1:10">
      <c r="A423" s="2">
        <v>422</v>
      </c>
      <c r="B423" s="3" t="s">
        <v>633</v>
      </c>
      <c r="C423" s="2" t="s">
        <v>660</v>
      </c>
      <c r="D423" s="2" t="s">
        <v>40</v>
      </c>
      <c r="E423" s="2" t="s">
        <v>20</v>
      </c>
      <c r="F423" s="2" t="s">
        <v>13</v>
      </c>
      <c r="G423" s="2" t="s">
        <v>21</v>
      </c>
      <c r="H423" s="4" t="str">
        <f>HYPERLINK("https://www.yoojia.com/article/9693488149014150168.html","https://www.yoojia.com/article/9693488149014150168.html")</f>
        <v>https://www.yoojia.com/article/9693488149014150168.html</v>
      </c>
      <c r="I423" s="3" t="s">
        <v>653</v>
      </c>
      <c r="J423" t="s">
        <v>16</v>
      </c>
    </row>
    <row r="424" ht="23" customHeight="1" spans="1:10">
      <c r="A424" s="2">
        <v>423</v>
      </c>
      <c r="B424" s="3" t="s">
        <v>633</v>
      </c>
      <c r="C424" s="2" t="s">
        <v>660</v>
      </c>
      <c r="D424" s="2" t="s">
        <v>41</v>
      </c>
      <c r="E424" s="2" t="s">
        <v>20</v>
      </c>
      <c r="F424" s="2" t="s">
        <v>13</v>
      </c>
      <c r="G424" s="2" t="s">
        <v>21</v>
      </c>
      <c r="H424" s="4" t="str">
        <f>HYPERLINK("https://mbd.baidu.com/newspage/data/landingshare?nid=news_9693488149014150168","https://mbd.baidu.com/newspage/data/landingshare?nid=news_9693488149014150168")</f>
        <v>https://mbd.baidu.com/newspage/data/landingshare?nid=news_9693488149014150168</v>
      </c>
      <c r="I424" s="3" t="s">
        <v>653</v>
      </c>
      <c r="J424" t="s">
        <v>16</v>
      </c>
    </row>
    <row r="425" ht="23" customHeight="1" spans="1:10">
      <c r="A425" s="2">
        <v>424</v>
      </c>
      <c r="B425" s="3" t="s">
        <v>633</v>
      </c>
      <c r="C425" s="2" t="s">
        <v>660</v>
      </c>
      <c r="D425" s="2" t="s">
        <v>46</v>
      </c>
      <c r="E425" s="2" t="s">
        <v>32</v>
      </c>
      <c r="F425" s="2" t="s">
        <v>13</v>
      </c>
      <c r="G425" s="2" t="s">
        <v>21</v>
      </c>
      <c r="H425" s="4" t="str">
        <f>HYPERLINK("https://www.sohu.com/a/950479226_121286085","https://www.sohu.com/a/950479226_121286085")</f>
        <v>https://www.sohu.com/a/950479226_121286085</v>
      </c>
      <c r="I425" s="3" t="s">
        <v>651</v>
      </c>
      <c r="J425" t="s">
        <v>16</v>
      </c>
    </row>
    <row r="426" ht="23" customHeight="1" spans="1:10">
      <c r="A426" s="2">
        <v>425</v>
      </c>
      <c r="B426" s="3" t="s">
        <v>633</v>
      </c>
      <c r="C426" s="2" t="s">
        <v>660</v>
      </c>
      <c r="D426" s="2" t="s">
        <v>43</v>
      </c>
      <c r="E426" s="2" t="s">
        <v>656</v>
      </c>
      <c r="F426" s="2" t="s">
        <v>13</v>
      </c>
      <c r="G426" s="2" t="s">
        <v>21</v>
      </c>
      <c r="H426" s="4" t="str">
        <f>HYPERLINK("https://www.jfdaily.com/staticsg/res/html/web/newsDetail.html?id=1011384","https://www.jfdaily.com/staticsg/res/html/web/newsDetail.html?id=1011384")</f>
        <v>https://www.jfdaily.com/staticsg/res/html/web/newsDetail.html?id=1011384</v>
      </c>
      <c r="I426" s="3" t="s">
        <v>651</v>
      </c>
      <c r="J426" t="s">
        <v>16</v>
      </c>
    </row>
    <row r="427" ht="23" customHeight="1" spans="1:10">
      <c r="A427" s="2">
        <v>426</v>
      </c>
      <c r="B427" s="3" t="s">
        <v>633</v>
      </c>
      <c r="C427" s="2" t="s">
        <v>660</v>
      </c>
      <c r="D427" s="2" t="s">
        <v>46</v>
      </c>
      <c r="E427" s="2" t="s">
        <v>32</v>
      </c>
      <c r="F427" s="2" t="s">
        <v>37</v>
      </c>
      <c r="G427" s="2" t="s">
        <v>21</v>
      </c>
      <c r="H427" s="4" t="str">
        <f>HYPERLINK("https://3g.k.sohu.com/t/n944013933?serialId=5e27045a22d362dca76328599cdcb5bb&amp;showType=944013933","https://3g.k.sohu.com/t/n944013933?serialId=5e27045a22d362dca76328599cdcb5bb&amp;showType=944013933")</f>
        <v>https://3g.k.sohu.com/t/n944013933?serialId=5e27045a22d362dca76328599cdcb5bb&amp;showType=944013933</v>
      </c>
      <c r="I427" s="3" t="s">
        <v>651</v>
      </c>
      <c r="J427" t="s">
        <v>16</v>
      </c>
    </row>
    <row r="428" ht="23" customHeight="1" spans="1:10">
      <c r="A428" s="2">
        <v>427</v>
      </c>
      <c r="B428" s="3" t="s">
        <v>633</v>
      </c>
      <c r="C428" s="2" t="s">
        <v>660</v>
      </c>
      <c r="D428" s="2" t="s">
        <v>46</v>
      </c>
      <c r="E428" s="2" t="s">
        <v>32</v>
      </c>
      <c r="F428" s="2" t="s">
        <v>37</v>
      </c>
      <c r="G428" s="2" t="s">
        <v>21</v>
      </c>
      <c r="H428" s="4" t="str">
        <f>HYPERLINK("https://3g.k.sohu.com/t/n943954336?serialId=b345097e4b8a560828b94273832f28ec&amp;showType=943954336","https://3g.k.sohu.com/t/n943954336?serialId=b345097e4b8a560828b94273832f28ec&amp;showType=943954336")</f>
        <v>https://3g.k.sohu.com/t/n943954336?serialId=b345097e4b8a560828b94273832f28ec&amp;showType=943954336</v>
      </c>
      <c r="I428" s="3" t="s">
        <v>651</v>
      </c>
      <c r="J428" t="s">
        <v>16</v>
      </c>
    </row>
    <row r="429" ht="23" customHeight="1" spans="1:10">
      <c r="A429" s="2">
        <v>428</v>
      </c>
      <c r="B429" s="3" t="s">
        <v>661</v>
      </c>
      <c r="C429" s="2" t="s">
        <v>662</v>
      </c>
      <c r="D429" s="2" t="s">
        <v>11</v>
      </c>
      <c r="E429" s="2" t="s">
        <v>663</v>
      </c>
      <c r="F429" s="2" t="s">
        <v>13</v>
      </c>
      <c r="G429" s="2" t="s">
        <v>26</v>
      </c>
      <c r="H429" s="4" t="str">
        <f>HYPERLINK("https://www.toutiao.com/article/7567584800271024675/","https://www.toutiao.com/article/7567584800271024675/")</f>
        <v>https://www.toutiao.com/article/7567584800271024675/</v>
      </c>
      <c r="I429" s="3" t="s">
        <v>664</v>
      </c>
      <c r="J429" t="s">
        <v>16</v>
      </c>
    </row>
    <row r="430" ht="23" customHeight="1" spans="1:10">
      <c r="A430" s="2">
        <v>429</v>
      </c>
      <c r="B430" s="3" t="s">
        <v>661</v>
      </c>
      <c r="C430" s="2" t="s">
        <v>665</v>
      </c>
      <c r="D430" s="2" t="s">
        <v>41</v>
      </c>
      <c r="E430" s="2" t="s">
        <v>663</v>
      </c>
      <c r="F430" s="2" t="s">
        <v>13</v>
      </c>
      <c r="G430" s="2" t="s">
        <v>26</v>
      </c>
      <c r="H430" s="4" t="str">
        <f>HYPERLINK("https://mbd.baidu.com/newspage/data/landingshare?nid=news_10464400380516996618","https://mbd.baidu.com/newspage/data/landingshare?nid=news_10464400380516996618")</f>
        <v>https://mbd.baidu.com/newspage/data/landingshare?nid=news_10464400380516996618</v>
      </c>
      <c r="I430" s="3" t="s">
        <v>664</v>
      </c>
      <c r="J430" t="s">
        <v>16</v>
      </c>
    </row>
    <row r="431" ht="23" customHeight="1" spans="1:10">
      <c r="A431" s="2">
        <v>430</v>
      </c>
      <c r="B431" s="3" t="s">
        <v>666</v>
      </c>
      <c r="C431" s="2" t="s">
        <v>667</v>
      </c>
      <c r="D431" s="2" t="s">
        <v>19</v>
      </c>
      <c r="E431" s="2" t="s">
        <v>668</v>
      </c>
      <c r="F431" s="2" t="s">
        <v>13</v>
      </c>
      <c r="G431" s="2" t="s">
        <v>21</v>
      </c>
      <c r="H431" s="4" t="str">
        <f>HYPERLINK("https://c.m.163.com/news/a/KD7C67L40514CFC7.html","https://c.m.163.com/news/a/KD7C67L40514CFC7.html")</f>
        <v>https://c.m.163.com/news/a/KD7C67L40514CFC7.html</v>
      </c>
      <c r="I431" s="3" t="s">
        <v>669</v>
      </c>
      <c r="J431" t="s">
        <v>16</v>
      </c>
    </row>
    <row r="432" ht="23" customHeight="1" spans="1:10">
      <c r="A432" s="2">
        <v>431</v>
      </c>
      <c r="B432" s="3" t="s">
        <v>670</v>
      </c>
      <c r="C432" s="2" t="s">
        <v>671</v>
      </c>
      <c r="D432" s="2" t="s">
        <v>273</v>
      </c>
      <c r="E432" s="2" t="s">
        <v>273</v>
      </c>
      <c r="F432" s="2" t="s">
        <v>37</v>
      </c>
      <c r="G432" s="2" t="s">
        <v>14</v>
      </c>
      <c r="H432" s="4" t="str">
        <f>HYPERLINK("http://app.people.cn/h5/detail/normal/6556012231934976","http://app.people.cn/h5/detail/normal/6556012231934976")</f>
        <v>http://app.people.cn/h5/detail/normal/6556012231934976</v>
      </c>
      <c r="I432" s="3" t="s">
        <v>672</v>
      </c>
      <c r="J432" t="s">
        <v>16</v>
      </c>
    </row>
    <row r="433" ht="23" customHeight="1" spans="1:10">
      <c r="A433" s="2">
        <v>432</v>
      </c>
      <c r="B433" s="3" t="s">
        <v>666</v>
      </c>
      <c r="C433" s="2" t="s">
        <v>673</v>
      </c>
      <c r="D433" s="2" t="s">
        <v>11</v>
      </c>
      <c r="E433" s="2" t="s">
        <v>668</v>
      </c>
      <c r="F433" s="2" t="s">
        <v>13</v>
      </c>
      <c r="G433" s="2" t="s">
        <v>21</v>
      </c>
      <c r="H433" s="4" t="str">
        <f>HYPERLINK("https://www.toutiao.com/article/7567300961568391731/","https://www.toutiao.com/article/7567300961568391731/")</f>
        <v>https://www.toutiao.com/article/7567300961568391731/</v>
      </c>
      <c r="I433" s="3" t="s">
        <v>669</v>
      </c>
      <c r="J433" t="s">
        <v>16</v>
      </c>
    </row>
    <row r="434" ht="23" customHeight="1" spans="1:10">
      <c r="A434" s="2">
        <v>433</v>
      </c>
      <c r="B434" s="3" t="s">
        <v>666</v>
      </c>
      <c r="C434" s="2" t="s">
        <v>674</v>
      </c>
      <c r="D434" s="2" t="s">
        <v>107</v>
      </c>
      <c r="E434" s="2" t="s">
        <v>668</v>
      </c>
      <c r="F434" s="2" t="s">
        <v>13</v>
      </c>
      <c r="G434" s="2" t="s">
        <v>21</v>
      </c>
      <c r="H434" s="4" t="str">
        <f>HYPERLINK("https://k.sina.cn/article_1893761531_v70e081fb02002xzd2.html","https://k.sina.cn/article_1893761531_v70e081fb02002xzd2.html")</f>
        <v>https://k.sina.cn/article_1893761531_v70e081fb02002xzd2.html</v>
      </c>
      <c r="I434" s="3" t="s">
        <v>669</v>
      </c>
      <c r="J434" t="s">
        <v>16</v>
      </c>
    </row>
    <row r="435" ht="23" customHeight="1" spans="1:10">
      <c r="A435" s="2">
        <v>434</v>
      </c>
      <c r="B435" s="3" t="s">
        <v>666</v>
      </c>
      <c r="C435" s="2" t="s">
        <v>675</v>
      </c>
      <c r="D435" s="2" t="s">
        <v>668</v>
      </c>
      <c r="E435" s="2" t="s">
        <v>668</v>
      </c>
      <c r="F435" s="2" t="s">
        <v>37</v>
      </c>
      <c r="G435" s="2" t="s">
        <v>21</v>
      </c>
      <c r="H435" s="4" t="str">
        <f>HYPERLINK("https://sdxw.iqilu.com/share/YS0yMS0xNjg1MzIzOA.html","https://sdxw.iqilu.com/share/YS0yMS0xNjg1MzIzOA.html")</f>
        <v>https://sdxw.iqilu.com/share/YS0yMS0xNjg1MzIzOA.html</v>
      </c>
      <c r="I435" s="3" t="s">
        <v>669</v>
      </c>
      <c r="J435" t="s">
        <v>16</v>
      </c>
    </row>
    <row r="436" ht="23" customHeight="1" spans="1:10">
      <c r="A436" s="2">
        <v>435</v>
      </c>
      <c r="B436" s="3" t="s">
        <v>666</v>
      </c>
      <c r="C436" s="2" t="s">
        <v>675</v>
      </c>
      <c r="D436" s="2" t="s">
        <v>41</v>
      </c>
      <c r="E436" s="2" t="s">
        <v>668</v>
      </c>
      <c r="F436" s="2" t="s">
        <v>13</v>
      </c>
      <c r="G436" s="2" t="s">
        <v>21</v>
      </c>
      <c r="H436" s="4" t="str">
        <f>HYPERLINK("https://mbd.baidu.com/newspage/data/landingshare?nid=news_9810386451551603759","https://mbd.baidu.com/newspage/data/landingshare?nid=news_9810386451551603759")</f>
        <v>https://mbd.baidu.com/newspage/data/landingshare?nid=news_9810386451551603759</v>
      </c>
      <c r="I436" s="3" t="s">
        <v>669</v>
      </c>
      <c r="J436" t="s">
        <v>16</v>
      </c>
    </row>
    <row r="437" ht="23" customHeight="1" spans="1:10">
      <c r="A437" s="2">
        <v>436</v>
      </c>
      <c r="B437" s="3" t="s">
        <v>666</v>
      </c>
      <c r="C437" s="2" t="s">
        <v>675</v>
      </c>
      <c r="D437" s="2" t="s">
        <v>40</v>
      </c>
      <c r="E437" s="2" t="s">
        <v>668</v>
      </c>
      <c r="F437" s="2" t="s">
        <v>13</v>
      </c>
      <c r="G437" s="2" t="s">
        <v>21</v>
      </c>
      <c r="H437" s="4" t="str">
        <f>HYPERLINK("https://www.yoojia.com/article/9810386451551603759.html","https://www.yoojia.com/article/9810386451551603759.html")</f>
        <v>https://www.yoojia.com/article/9810386451551603759.html</v>
      </c>
      <c r="I437" s="3" t="s">
        <v>669</v>
      </c>
      <c r="J437" t="s">
        <v>16</v>
      </c>
    </row>
    <row r="438" ht="23" customHeight="1" spans="1:10">
      <c r="A438" s="2">
        <v>437</v>
      </c>
      <c r="B438" s="3" t="s">
        <v>676</v>
      </c>
      <c r="C438" s="2" t="s">
        <v>677</v>
      </c>
      <c r="D438" s="2" t="s">
        <v>678</v>
      </c>
      <c r="E438" s="2" t="s">
        <v>678</v>
      </c>
      <c r="F438" s="2" t="s">
        <v>13</v>
      </c>
      <c r="G438" s="2" t="s">
        <v>21</v>
      </c>
      <c r="H438" s="4" t="str">
        <f>HYPERLINK("https://dzrb.dzng.com/general/0/NEWS2856589MDHSFIVEDFHOT","https://dzrb.dzng.com/general/0/NEWS2856589MDHSFIVEDFHOT")</f>
        <v>https://dzrb.dzng.com/general/0/NEWS2856589MDHSFIVEDFHOT</v>
      </c>
      <c r="I438" s="3" t="s">
        <v>664</v>
      </c>
      <c r="J438" t="s">
        <v>16</v>
      </c>
    </row>
    <row r="439" ht="23" customHeight="1" spans="1:10">
      <c r="A439" s="2">
        <v>438</v>
      </c>
      <c r="B439" s="3" t="s">
        <v>679</v>
      </c>
      <c r="C439" s="2" t="s">
        <v>680</v>
      </c>
      <c r="D439" s="2" t="s">
        <v>681</v>
      </c>
      <c r="E439" s="2" t="s">
        <v>681</v>
      </c>
      <c r="F439" s="2" t="s">
        <v>37</v>
      </c>
      <c r="G439" s="2" t="s">
        <v>83</v>
      </c>
      <c r="H439" s="4" t="str">
        <f>HYPERLINK("https://jg-mvvm.eeo.com.cn/article/info?id=902da6a26bce8c8d64e90def49c08882","https://jg-mvvm.eeo.com.cn/article/info?id=902da6a26bce8c8d64e90def49c08882")</f>
        <v>https://jg-mvvm.eeo.com.cn/article/info?id=902da6a26bce8c8d64e90def49c08882</v>
      </c>
      <c r="I439" s="3" t="s">
        <v>682</v>
      </c>
      <c r="J439" t="s">
        <v>16</v>
      </c>
    </row>
    <row r="440" ht="23" customHeight="1" spans="1:10">
      <c r="A440" s="2">
        <v>439</v>
      </c>
      <c r="B440" s="3" t="s">
        <v>679</v>
      </c>
      <c r="C440" s="2" t="s">
        <v>683</v>
      </c>
      <c r="D440" s="2" t="s">
        <v>11</v>
      </c>
      <c r="E440" s="2" t="s">
        <v>684</v>
      </c>
      <c r="F440" s="2" t="s">
        <v>13</v>
      </c>
      <c r="G440" s="2" t="s">
        <v>21</v>
      </c>
      <c r="H440" s="4" t="str">
        <f>HYPERLINK("https://www.toutiao.com/article/7567217575940932131/","https://www.toutiao.com/article/7567217575940932131/")</f>
        <v>https://www.toutiao.com/article/7567217575940932131/</v>
      </c>
      <c r="I440" s="3" t="s">
        <v>672</v>
      </c>
      <c r="J440" t="s">
        <v>16</v>
      </c>
    </row>
    <row r="441" ht="23" customHeight="1" spans="1:10">
      <c r="A441" s="2">
        <v>440</v>
      </c>
      <c r="B441" s="3" t="s">
        <v>679</v>
      </c>
      <c r="C441" s="2" t="s">
        <v>685</v>
      </c>
      <c r="D441" s="2" t="s">
        <v>46</v>
      </c>
      <c r="E441" s="2" t="s">
        <v>686</v>
      </c>
      <c r="F441" s="2" t="s">
        <v>37</v>
      </c>
      <c r="G441" s="2" t="s">
        <v>21</v>
      </c>
      <c r="H441" s="4" t="str">
        <f>HYPERLINK("https://3g.k.sohu.com/t/n943087395?serialId=f1737847f0211bf4f8eb1f80e947a710&amp;showType=943087395","https://3g.k.sohu.com/t/n943087395?serialId=f1737847f0211bf4f8eb1f80e947a710&amp;showType=943087395")</f>
        <v>https://3g.k.sohu.com/t/n943087395?serialId=f1737847f0211bf4f8eb1f80e947a710&amp;showType=943087395</v>
      </c>
      <c r="I441" s="3" t="s">
        <v>687</v>
      </c>
      <c r="J441" t="s">
        <v>16</v>
      </c>
    </row>
    <row r="442" ht="23" customHeight="1" spans="1:10">
      <c r="A442" s="2">
        <v>441</v>
      </c>
      <c r="B442" s="3" t="s">
        <v>679</v>
      </c>
      <c r="C442" s="2" t="s">
        <v>685</v>
      </c>
      <c r="D442" s="2" t="s">
        <v>46</v>
      </c>
      <c r="E442" s="2" t="s">
        <v>686</v>
      </c>
      <c r="F442" s="2" t="s">
        <v>13</v>
      </c>
      <c r="G442" s="2" t="s">
        <v>21</v>
      </c>
      <c r="H442" s="4" t="str">
        <f>HYPERLINK("https://www.sohu.com/a/949480311_121332524","https://www.sohu.com/a/949480311_121332524")</f>
        <v>https://www.sohu.com/a/949480311_121332524</v>
      </c>
      <c r="I442" s="3" t="s">
        <v>682</v>
      </c>
      <c r="J442" t="s">
        <v>16</v>
      </c>
    </row>
    <row r="443" ht="23" customHeight="1" spans="1:10">
      <c r="A443" s="2">
        <v>442</v>
      </c>
      <c r="B443" s="3" t="s">
        <v>679</v>
      </c>
      <c r="C443" s="2" t="s">
        <v>688</v>
      </c>
      <c r="D443" s="2" t="s">
        <v>286</v>
      </c>
      <c r="E443" s="2" t="s">
        <v>684</v>
      </c>
      <c r="F443" s="2" t="s">
        <v>13</v>
      </c>
      <c r="G443" s="2" t="s">
        <v>21</v>
      </c>
      <c r="H443" s="4" t="str">
        <f>HYPERLINK("https://www.360kuai.com/95ecbe543290dd492","https://www.360kuai.com/95ecbe543290dd492")</f>
        <v>https://www.360kuai.com/95ecbe543290dd492</v>
      </c>
      <c r="I443" s="3" t="s">
        <v>682</v>
      </c>
      <c r="J443" t="s">
        <v>16</v>
      </c>
    </row>
    <row r="444" ht="23" customHeight="1" spans="1:10">
      <c r="A444" s="2">
        <v>443</v>
      </c>
      <c r="B444" s="3" t="s">
        <v>679</v>
      </c>
      <c r="C444" s="2" t="s">
        <v>689</v>
      </c>
      <c r="D444" s="2" t="s">
        <v>46</v>
      </c>
      <c r="E444" s="2" t="s">
        <v>684</v>
      </c>
      <c r="F444" s="2" t="s">
        <v>13</v>
      </c>
      <c r="G444" s="2" t="s">
        <v>21</v>
      </c>
      <c r="H444" s="4" t="str">
        <f>HYPERLINK("https://www.sohu.com/a/949469539_121345914","https://www.sohu.com/a/949469539_121345914")</f>
        <v>https://www.sohu.com/a/949469539_121345914</v>
      </c>
      <c r="I444" s="3" t="s">
        <v>682</v>
      </c>
      <c r="J444" t="s">
        <v>16</v>
      </c>
    </row>
    <row r="445" ht="23" customHeight="1" spans="1:10">
      <c r="A445" s="2">
        <v>444</v>
      </c>
      <c r="B445" s="3" t="s">
        <v>679</v>
      </c>
      <c r="C445" s="2" t="s">
        <v>689</v>
      </c>
      <c r="D445" s="2" t="s">
        <v>46</v>
      </c>
      <c r="E445" s="2" t="s">
        <v>684</v>
      </c>
      <c r="F445" s="2" t="s">
        <v>37</v>
      </c>
      <c r="G445" s="2" t="s">
        <v>21</v>
      </c>
      <c r="H445" s="4" t="str">
        <f>HYPERLINK("https://3g.k.sohu.com/t/n943083346?serialId=5e37440c11b65170158e9b207d61cf8b&amp;showType=943083346","https://3g.k.sohu.com/t/n943083346?serialId=5e37440c11b65170158e9b207d61cf8b&amp;showType=943083346")</f>
        <v>https://3g.k.sohu.com/t/n943083346?serialId=5e37440c11b65170158e9b207d61cf8b&amp;showType=943083346</v>
      </c>
      <c r="I445" s="3" t="s">
        <v>687</v>
      </c>
      <c r="J445" t="s">
        <v>16</v>
      </c>
    </row>
    <row r="446" ht="23" customHeight="1" spans="1:10">
      <c r="A446" s="2">
        <v>445</v>
      </c>
      <c r="B446" s="3" t="s">
        <v>690</v>
      </c>
      <c r="C446" s="2" t="s">
        <v>691</v>
      </c>
      <c r="D446" s="2" t="s">
        <v>46</v>
      </c>
      <c r="E446" s="2" t="s">
        <v>692</v>
      </c>
      <c r="F446" s="2" t="s">
        <v>37</v>
      </c>
      <c r="G446" s="2" t="s">
        <v>26</v>
      </c>
      <c r="H446" s="4" t="str">
        <f>HYPERLINK("https://3g.k.sohu.com/t/n942536637?serialId=6287df7e5c8e6b195ceabf2d67ece92f&amp;showType=942536637","https://3g.k.sohu.com/t/n942536637?serialId=6287df7e5c8e6b195ceabf2d67ece92f&amp;showType=942536637")</f>
        <v>https://3g.k.sohu.com/t/n942536637?serialId=6287df7e5c8e6b195ceabf2d67ece92f&amp;showType=942536637</v>
      </c>
      <c r="I446" s="3" t="s">
        <v>693</v>
      </c>
      <c r="J446" t="s">
        <v>16</v>
      </c>
    </row>
    <row r="447" ht="23" customHeight="1" spans="1:10">
      <c r="A447" s="2">
        <v>446</v>
      </c>
      <c r="B447" s="3" t="s">
        <v>694</v>
      </c>
      <c r="C447" s="2" t="s">
        <v>695</v>
      </c>
      <c r="D447" s="2" t="s">
        <v>11</v>
      </c>
      <c r="E447" s="2" t="s">
        <v>684</v>
      </c>
      <c r="F447" s="2" t="s">
        <v>13</v>
      </c>
      <c r="G447" s="2" t="s">
        <v>21</v>
      </c>
      <c r="H447" s="4" t="str">
        <f>HYPERLINK("https://www.toutiao.com/article/7566104333159367206/","https://www.toutiao.com/article/7566104333159367206/")</f>
        <v>https://www.toutiao.com/article/7566104333159367206/</v>
      </c>
      <c r="I447" s="3" t="s">
        <v>696</v>
      </c>
      <c r="J447" t="s">
        <v>16</v>
      </c>
    </row>
    <row r="448" ht="23" customHeight="1" spans="1:10">
      <c r="A448" s="2">
        <v>447</v>
      </c>
      <c r="B448" s="3" t="s">
        <v>694</v>
      </c>
      <c r="C448" s="2" t="s">
        <v>697</v>
      </c>
      <c r="D448" s="2" t="s">
        <v>40</v>
      </c>
      <c r="E448" s="2" t="s">
        <v>684</v>
      </c>
      <c r="F448" s="2" t="s">
        <v>13</v>
      </c>
      <c r="G448" s="2" t="s">
        <v>21</v>
      </c>
      <c r="H448" s="4" t="str">
        <f>HYPERLINK("https://www.yoojia.com/article/9882406511906485155.html","https://www.yoojia.com/article/9882406511906485155.html")</f>
        <v>https://www.yoojia.com/article/9882406511906485155.html</v>
      </c>
      <c r="I448" s="3" t="s">
        <v>696</v>
      </c>
      <c r="J448" t="s">
        <v>16</v>
      </c>
    </row>
    <row r="449" ht="23" customHeight="1" spans="1:10">
      <c r="A449" s="2">
        <v>448</v>
      </c>
      <c r="B449" s="3" t="s">
        <v>694</v>
      </c>
      <c r="C449" s="2" t="s">
        <v>697</v>
      </c>
      <c r="D449" s="2" t="s">
        <v>41</v>
      </c>
      <c r="E449" s="2" t="s">
        <v>684</v>
      </c>
      <c r="F449" s="2" t="s">
        <v>13</v>
      </c>
      <c r="G449" s="2" t="s">
        <v>21</v>
      </c>
      <c r="H449" s="4" t="str">
        <f>HYPERLINK("https://mbd.baidu.com/newspage/data/landingshare?nid=news_9882406511906485155","https://mbd.baidu.com/newspage/data/landingshare?nid=news_9882406511906485155")</f>
        <v>https://mbd.baidu.com/newspage/data/landingshare?nid=news_9882406511906485155</v>
      </c>
      <c r="I449" s="3" t="s">
        <v>696</v>
      </c>
      <c r="J449" t="s">
        <v>16</v>
      </c>
    </row>
    <row r="450" ht="23" customHeight="1" spans="1:10">
      <c r="A450" s="2">
        <v>449</v>
      </c>
      <c r="B450" s="3" t="s">
        <v>694</v>
      </c>
      <c r="C450" s="2" t="s">
        <v>698</v>
      </c>
      <c r="D450" s="2" t="s">
        <v>286</v>
      </c>
      <c r="E450" s="2" t="s">
        <v>684</v>
      </c>
      <c r="F450" s="2" t="s">
        <v>13</v>
      </c>
      <c r="G450" s="2" t="s">
        <v>21</v>
      </c>
      <c r="H450" s="4" t="str">
        <f>HYPERLINK("https://www.360kuai.com/pc/detail?url=http%3A%2F%2Fzm.news.so.com%2Fd82ab4b84af3c995a499b5a51a7add66&amp;check=19642a7d412b5862","https://www.360kuai.com/pc/detail?url=http%3A%2F%2Fzm.news.so.com%2Fd82ab4b84af3c995a499b5a51a7add66&amp;check=19642a7d412b5862")</f>
        <v>https://www.360kuai.com/pc/detail?url=http%3A%2F%2Fzm.news.so.com%2Fd82ab4b84af3c995a499b5a51a7add66&amp;check=19642a7d412b5862</v>
      </c>
      <c r="I450" s="3" t="s">
        <v>696</v>
      </c>
      <c r="J450" t="s">
        <v>16</v>
      </c>
    </row>
    <row r="451" ht="23" customHeight="1" spans="1:10">
      <c r="A451" s="2">
        <v>450</v>
      </c>
      <c r="B451" s="3" t="s">
        <v>699</v>
      </c>
      <c r="C451" s="2" t="s">
        <v>700</v>
      </c>
      <c r="D451" s="2" t="s">
        <v>11</v>
      </c>
      <c r="E451" s="2" t="s">
        <v>87</v>
      </c>
      <c r="F451" s="2" t="s">
        <v>13</v>
      </c>
      <c r="G451" s="2" t="s">
        <v>26</v>
      </c>
      <c r="H451" s="4" t="str">
        <f>HYPERLINK("https://www.toutiao.com/article/7565791567416394276/","https://www.toutiao.com/article/7565791567416394276/")</f>
        <v>https://www.toutiao.com/article/7565791567416394276/</v>
      </c>
      <c r="I451" s="3" t="s">
        <v>701</v>
      </c>
      <c r="J451" t="s">
        <v>16</v>
      </c>
    </row>
    <row r="452" ht="23" customHeight="1" spans="1:10">
      <c r="A452" s="2">
        <v>451</v>
      </c>
      <c r="B452" s="3" t="s">
        <v>699</v>
      </c>
      <c r="C452" s="2" t="s">
        <v>702</v>
      </c>
      <c r="D452" s="2" t="s">
        <v>19</v>
      </c>
      <c r="E452" s="2" t="s">
        <v>108</v>
      </c>
      <c r="F452" s="2" t="s">
        <v>13</v>
      </c>
      <c r="G452" s="2" t="s">
        <v>14</v>
      </c>
      <c r="H452" s="4" t="str">
        <f>HYPERLINK("https://c.m.163.com/news/a/KCSRGML20530QRMB.html","https://c.m.163.com/news/a/KCSRGML20530QRMB.html")</f>
        <v>https://c.m.163.com/news/a/KCSRGML20530QRMB.html</v>
      </c>
      <c r="I452" s="3" t="s">
        <v>701</v>
      </c>
      <c r="J452" t="s">
        <v>16</v>
      </c>
    </row>
    <row r="453" ht="23" customHeight="1" spans="1:10">
      <c r="A453" s="2">
        <v>452</v>
      </c>
      <c r="B453" s="3" t="s">
        <v>699</v>
      </c>
      <c r="C453" s="2" t="s">
        <v>703</v>
      </c>
      <c r="D453" s="2" t="s">
        <v>107</v>
      </c>
      <c r="E453" s="2" t="s">
        <v>108</v>
      </c>
      <c r="F453" s="2" t="s">
        <v>13</v>
      </c>
      <c r="G453" s="2" t="s">
        <v>14</v>
      </c>
      <c r="H453" s="4" t="str">
        <f>HYPERLINK("https://k.sina.cn/article_7517400647_1c0126e4705907pdkk.html","https://k.sina.cn/article_7517400647_1c0126e4705907pdkk.html")</f>
        <v>https://k.sina.cn/article_7517400647_1c0126e4705907pdkk.html</v>
      </c>
      <c r="I453" s="3" t="s">
        <v>701</v>
      </c>
      <c r="J453" t="s">
        <v>16</v>
      </c>
    </row>
    <row r="454" ht="23" customHeight="1" spans="1:10">
      <c r="A454" s="2">
        <v>453</v>
      </c>
      <c r="B454" s="3" t="s">
        <v>699</v>
      </c>
      <c r="C454" s="2" t="s">
        <v>703</v>
      </c>
      <c r="D454" s="2" t="s">
        <v>286</v>
      </c>
      <c r="E454" s="2" t="s">
        <v>287</v>
      </c>
      <c r="F454" s="2" t="s">
        <v>13</v>
      </c>
      <c r="G454" s="2" t="s">
        <v>14</v>
      </c>
      <c r="H454" s="4" t="str">
        <f>HYPERLINK("https://www.360kuai.com/pc/detail?url=http%3A%2F%2Fzm.news.so.com%2Ffae5495f97166cd08d2d71020fc71b63&amp;check=eb21a815215d068b","https://www.360kuai.com/pc/detail?url=http%3A%2F%2Fzm.news.so.com%2Ffae5495f97166cd08d2d71020fc71b63&amp;check=eb21a815215d068b")</f>
        <v>https://www.360kuai.com/pc/detail?url=http%3A%2F%2Fzm.news.so.com%2Ffae5495f97166cd08d2d71020fc71b63&amp;check=eb21a815215d068b</v>
      </c>
      <c r="I454" s="3" t="s">
        <v>701</v>
      </c>
      <c r="J454" t="s">
        <v>16</v>
      </c>
    </row>
    <row r="455" ht="23" customHeight="1" spans="1:10">
      <c r="A455" s="2">
        <v>454</v>
      </c>
      <c r="B455" s="3" t="s">
        <v>699</v>
      </c>
      <c r="C455" s="2" t="s">
        <v>703</v>
      </c>
      <c r="D455" s="2" t="s">
        <v>107</v>
      </c>
      <c r="E455" s="2" t="s">
        <v>87</v>
      </c>
      <c r="F455" s="2" t="s">
        <v>13</v>
      </c>
      <c r="G455" s="2" t="s">
        <v>26</v>
      </c>
      <c r="H455" s="4" t="str">
        <f>HYPERLINK("https://k.sina.cn/article_6824573189_196c6b90502002fdp4.html","https://k.sina.cn/article_6824573189_196c6b90502002fdp4.html")</f>
        <v>https://k.sina.cn/article_6824573189_196c6b90502002fdp4.html</v>
      </c>
      <c r="I455" s="3" t="s">
        <v>701</v>
      </c>
      <c r="J455" t="s">
        <v>16</v>
      </c>
    </row>
    <row r="456" ht="23" customHeight="1" spans="1:10">
      <c r="A456" s="2">
        <v>455</v>
      </c>
      <c r="B456" s="3" t="s">
        <v>704</v>
      </c>
      <c r="C456" s="2" t="s">
        <v>703</v>
      </c>
      <c r="D456" s="2" t="s">
        <v>450</v>
      </c>
      <c r="E456" s="2" t="s">
        <v>108</v>
      </c>
      <c r="F456" s="2" t="s">
        <v>37</v>
      </c>
      <c r="G456" s="2" t="s">
        <v>14</v>
      </c>
      <c r="H456" s="4" t="str">
        <f>HYPERLINK("http://m.uczzd.cn/ucnews/news?aid=13209666710765711232","http://m.uczzd.cn/ucnews/news?aid=13209666710765711232")</f>
        <v>http://m.uczzd.cn/ucnews/news?aid=13209666710765711232</v>
      </c>
      <c r="I456" s="3" t="s">
        <v>701</v>
      </c>
      <c r="J456" t="s">
        <v>16</v>
      </c>
    </row>
    <row r="457" ht="23" customHeight="1" spans="1:10">
      <c r="A457" s="2">
        <v>456</v>
      </c>
      <c r="B457" s="3" t="s">
        <v>699</v>
      </c>
      <c r="C457" s="2" t="s">
        <v>705</v>
      </c>
      <c r="D457" s="2" t="s">
        <v>95</v>
      </c>
      <c r="E457" s="2" t="s">
        <v>95</v>
      </c>
      <c r="F457" s="2" t="s">
        <v>13</v>
      </c>
      <c r="G457" s="2" t="s">
        <v>14</v>
      </c>
      <c r="H457" s="4" t="str">
        <f>HYPERLINK("http://sh.people.com.cn/n2/2025/1027/c134768-41392279.html","http://sh.people.com.cn/n2/2025/1027/c134768-41392279.html")</f>
        <v>http://sh.people.com.cn/n2/2025/1027/c134768-41392279.html</v>
      </c>
      <c r="I457" s="3" t="s">
        <v>701</v>
      </c>
      <c r="J457" t="s">
        <v>16</v>
      </c>
    </row>
    <row r="458" ht="23" customHeight="1" spans="1:10">
      <c r="A458" s="2">
        <v>457</v>
      </c>
      <c r="B458" s="3" t="s">
        <v>699</v>
      </c>
      <c r="C458" s="2" t="s">
        <v>705</v>
      </c>
      <c r="D458" s="2" t="s">
        <v>95</v>
      </c>
      <c r="E458" s="2" t="s">
        <v>95</v>
      </c>
      <c r="F458" s="2" t="s">
        <v>13</v>
      </c>
      <c r="G458" s="2" t="s">
        <v>14</v>
      </c>
      <c r="H458" s="4" t="str">
        <f>HYPERLINK("http://sh.people.com.cn/BIG5/n2/2025/1027/c134768-41392279.html","http://sh.people.com.cn/BIG5/n2/2025/1027/c134768-41392279.html")</f>
        <v>http://sh.people.com.cn/BIG5/n2/2025/1027/c134768-41392279.html</v>
      </c>
      <c r="I458" s="3" t="s">
        <v>701</v>
      </c>
      <c r="J458" t="s">
        <v>16</v>
      </c>
    </row>
    <row r="459" ht="23" customHeight="1" spans="1:10">
      <c r="A459" s="2">
        <v>458</v>
      </c>
      <c r="B459" s="3" t="s">
        <v>699</v>
      </c>
      <c r="C459" s="2" t="s">
        <v>705</v>
      </c>
      <c r="D459" s="2" t="s">
        <v>41</v>
      </c>
      <c r="E459" s="2" t="s">
        <v>87</v>
      </c>
      <c r="F459" s="2" t="s">
        <v>13</v>
      </c>
      <c r="G459" s="2" t="s">
        <v>26</v>
      </c>
      <c r="H459" s="4" t="str">
        <f>HYPERLINK("https://mbd.baidu.com/newspage/data/landingshare?nid=news_9109858632390530427","https://mbd.baidu.com/newspage/data/landingshare?nid=news_9109858632390530427")</f>
        <v>https://mbd.baidu.com/newspage/data/landingshare?nid=news_9109858632390530427</v>
      </c>
      <c r="I459" s="3" t="s">
        <v>701</v>
      </c>
      <c r="J459" t="s">
        <v>16</v>
      </c>
    </row>
    <row r="460" ht="23" customHeight="1" spans="1:10">
      <c r="A460" s="2">
        <v>459</v>
      </c>
      <c r="B460" s="3" t="s">
        <v>706</v>
      </c>
      <c r="C460" s="2" t="s">
        <v>707</v>
      </c>
      <c r="D460" s="2" t="s">
        <v>215</v>
      </c>
      <c r="E460" s="2" t="s">
        <v>708</v>
      </c>
      <c r="F460" s="2" t="s">
        <v>13</v>
      </c>
      <c r="G460" s="2" t="s">
        <v>21</v>
      </c>
      <c r="H460" s="4" t="str">
        <f>HYPERLINK("http://edu.eastday.com/node2/jypd/n5/20251027/u1ai66368.html","http://edu.eastday.com/node2/jypd/n5/20251027/u1ai66368.html")</f>
        <v>http://edu.eastday.com/node2/jypd/n5/20251027/u1ai66368.html</v>
      </c>
      <c r="I460" s="3" t="s">
        <v>709</v>
      </c>
      <c r="J460" t="s">
        <v>16</v>
      </c>
    </row>
    <row r="461" ht="23" customHeight="1" spans="1:10">
      <c r="A461" s="2">
        <v>460</v>
      </c>
      <c r="B461" s="3" t="s">
        <v>710</v>
      </c>
      <c r="C461" s="2" t="s">
        <v>711</v>
      </c>
      <c r="D461" s="2" t="s">
        <v>34</v>
      </c>
      <c r="E461" s="2" t="s">
        <v>159</v>
      </c>
      <c r="F461" s="2" t="s">
        <v>13</v>
      </c>
      <c r="G461" s="2" t="s">
        <v>21</v>
      </c>
      <c r="H461" s="4" t="str">
        <f>HYPERLINK("https://kandianshare.html5.qq.com/v2/news/8218259940700127554","https://kandianshare.html5.qq.com/v2/news/8218259940700127554")</f>
        <v>https://kandianshare.html5.qq.com/v2/news/8218259940700127554</v>
      </c>
      <c r="I461" s="3" t="s">
        <v>701</v>
      </c>
      <c r="J461" t="s">
        <v>16</v>
      </c>
    </row>
    <row r="462" ht="23" customHeight="1" spans="1:10">
      <c r="A462" s="2">
        <v>461</v>
      </c>
      <c r="B462" s="3" t="s">
        <v>710</v>
      </c>
      <c r="C462" s="2" t="s">
        <v>711</v>
      </c>
      <c r="D462" s="2" t="s">
        <v>35</v>
      </c>
      <c r="E462" s="2" t="s">
        <v>159</v>
      </c>
      <c r="F462" s="2" t="s">
        <v>13</v>
      </c>
      <c r="G462" s="2" t="s">
        <v>21</v>
      </c>
      <c r="H462" s="4" t="str">
        <f>HYPERLINK("https://new.qq.com/rain/a/20251027A03FLV00","https://new.qq.com/rain/a/20251027A03FLV00")</f>
        <v>https://new.qq.com/rain/a/20251027A03FLV00</v>
      </c>
      <c r="I462" s="3" t="s">
        <v>701</v>
      </c>
      <c r="J462" t="s">
        <v>16</v>
      </c>
    </row>
    <row r="463" ht="23" customHeight="1" spans="1:10">
      <c r="A463" s="2">
        <v>462</v>
      </c>
      <c r="B463" s="3" t="s">
        <v>710</v>
      </c>
      <c r="C463" s="2" t="s">
        <v>712</v>
      </c>
      <c r="D463" s="2" t="s">
        <v>40</v>
      </c>
      <c r="E463" s="2" t="s">
        <v>159</v>
      </c>
      <c r="F463" s="2" t="s">
        <v>13</v>
      </c>
      <c r="G463" s="2" t="s">
        <v>21</v>
      </c>
      <c r="H463" s="4" t="str">
        <f>HYPERLINK("https://www.yoojia.com/article/10067449860702709555.html","https://www.yoojia.com/article/10067449860702709555.html")</f>
        <v>https://www.yoojia.com/article/10067449860702709555.html</v>
      </c>
      <c r="I463" s="3" t="s">
        <v>701</v>
      </c>
      <c r="J463" t="s">
        <v>16</v>
      </c>
    </row>
    <row r="464" ht="23" customHeight="1" spans="1:10">
      <c r="A464" s="2">
        <v>463</v>
      </c>
      <c r="B464" s="3" t="s">
        <v>710</v>
      </c>
      <c r="C464" s="2" t="s">
        <v>712</v>
      </c>
      <c r="D464" s="2" t="s">
        <v>41</v>
      </c>
      <c r="E464" s="2" t="s">
        <v>159</v>
      </c>
      <c r="F464" s="2" t="s">
        <v>13</v>
      </c>
      <c r="G464" s="2" t="s">
        <v>21</v>
      </c>
      <c r="H464" s="4" t="str">
        <f>HYPERLINK("https://mbd.baidu.com/newspage/data/landingshare?nid=news_10067449860702709555","https://mbd.baidu.com/newspage/data/landingshare?nid=news_10067449860702709555")</f>
        <v>https://mbd.baidu.com/newspage/data/landingshare?nid=news_10067449860702709555</v>
      </c>
      <c r="I464" s="3" t="s">
        <v>701</v>
      </c>
      <c r="J464" t="s">
        <v>16</v>
      </c>
    </row>
    <row r="465" ht="23" customHeight="1" spans="1:10">
      <c r="A465" s="2">
        <v>464</v>
      </c>
      <c r="B465" s="3" t="s">
        <v>710</v>
      </c>
      <c r="C465" s="2" t="s">
        <v>713</v>
      </c>
      <c r="D465" s="2" t="s">
        <v>159</v>
      </c>
      <c r="E465" s="2" t="s">
        <v>164</v>
      </c>
      <c r="F465" s="2" t="s">
        <v>13</v>
      </c>
      <c r="G465" s="2" t="s">
        <v>21</v>
      </c>
      <c r="H465" s="4" t="str">
        <f>HYPERLINK("https://static.zhoudaosh.com/files/cnews/2025/20251027/FA35145AEB2754684B4FE2B0EB751175DDCE9C6F94F4731B7D4FF7B2632B3696/4.html","https://static.zhoudaosh.com/files/cnews/2025/20251027/FA35145AEB2754684B4FE2B0EB751175DDCE9C6F94F4731B7D4FF7B2632B3696/4.html")</f>
        <v>https://static.zhoudaosh.com/files/cnews/2025/20251027/FA35145AEB2754684B4FE2B0EB751175DDCE9C6F94F4731B7D4FF7B2632B3696/4.html</v>
      </c>
      <c r="I465" s="3" t="s">
        <v>701</v>
      </c>
      <c r="J465" t="s">
        <v>16</v>
      </c>
    </row>
    <row r="466" ht="23" customHeight="1" spans="1:10">
      <c r="A466" s="2">
        <v>465</v>
      </c>
      <c r="B466" s="3" t="s">
        <v>714</v>
      </c>
      <c r="C466" s="2" t="s">
        <v>715</v>
      </c>
      <c r="D466" s="2" t="s">
        <v>41</v>
      </c>
      <c r="E466" s="2" t="s">
        <v>716</v>
      </c>
      <c r="F466" s="2" t="s">
        <v>13</v>
      </c>
      <c r="G466" s="2" t="s">
        <v>26</v>
      </c>
      <c r="H466" s="4" t="str">
        <f>HYPERLINK("https://mbd.baidu.com/newspage/data/landingshare?nid=news_8752259814161491243","https://mbd.baidu.com/newspage/data/landingshare?nid=news_8752259814161491243")</f>
        <v>https://mbd.baidu.com/newspage/data/landingshare?nid=news_8752259814161491243</v>
      </c>
      <c r="I466" s="3" t="s">
        <v>717</v>
      </c>
      <c r="J466" t="s">
        <v>16</v>
      </c>
    </row>
    <row r="467" ht="23" customHeight="1" spans="1:10">
      <c r="A467" s="2">
        <v>466</v>
      </c>
      <c r="B467" s="3" t="s">
        <v>694</v>
      </c>
      <c r="C467" s="2" t="s">
        <v>718</v>
      </c>
      <c r="D467" s="2" t="s">
        <v>719</v>
      </c>
      <c r="E467" s="2" t="s">
        <v>719</v>
      </c>
      <c r="F467" s="2" t="s">
        <v>13</v>
      </c>
      <c r="G467" s="2" t="s">
        <v>83</v>
      </c>
      <c r="H467" s="4" t="str">
        <f>HYPERLINK("https://www.rznews.cn/viscms/donggangqu/20251027/652304.html","https://www.rznews.cn/viscms/donggangqu/20251027/652304.html")</f>
        <v>https://www.rznews.cn/viscms/donggangqu/20251027/652304.html</v>
      </c>
      <c r="I467" s="3" t="s">
        <v>696</v>
      </c>
      <c r="J467" t="s">
        <v>16</v>
      </c>
    </row>
    <row r="468" ht="23" customHeight="1" spans="1:10">
      <c r="A468" s="2">
        <v>467</v>
      </c>
      <c r="B468" s="3" t="s">
        <v>720</v>
      </c>
      <c r="C468" s="2" t="s">
        <v>721</v>
      </c>
      <c r="D468" s="2" t="s">
        <v>11</v>
      </c>
      <c r="E468" s="2" t="s">
        <v>722</v>
      </c>
      <c r="F468" s="2" t="s">
        <v>13</v>
      </c>
      <c r="G468" s="2" t="s">
        <v>26</v>
      </c>
      <c r="H468" s="4" t="str">
        <f>HYPERLINK("https://www.toutiao.com/article/7565717833075113990/","https://www.toutiao.com/article/7565717833075113990/")</f>
        <v>https://www.toutiao.com/article/7565717833075113990/</v>
      </c>
      <c r="I468" s="3" t="s">
        <v>717</v>
      </c>
      <c r="J468" t="s">
        <v>16</v>
      </c>
    </row>
    <row r="469" ht="23" customHeight="1" spans="1:10">
      <c r="A469" s="2">
        <v>468</v>
      </c>
      <c r="B469" s="3" t="s">
        <v>723</v>
      </c>
      <c r="C469" s="2" t="s">
        <v>724</v>
      </c>
      <c r="D469" s="2" t="s">
        <v>11</v>
      </c>
      <c r="E469" s="2" t="s">
        <v>684</v>
      </c>
      <c r="F469" s="2" t="s">
        <v>13</v>
      </c>
      <c r="G469" s="2" t="s">
        <v>21</v>
      </c>
      <c r="H469" s="4" t="str">
        <f>HYPERLINK("https://www.toutiao.com/article/7565717782055191078/","https://www.toutiao.com/article/7565717782055191078/")</f>
        <v>https://www.toutiao.com/article/7565717782055191078/</v>
      </c>
      <c r="I469" s="3" t="s">
        <v>717</v>
      </c>
      <c r="J469" t="s">
        <v>16</v>
      </c>
    </row>
    <row r="470" ht="23" customHeight="1" spans="1:10">
      <c r="A470" s="2">
        <v>469</v>
      </c>
      <c r="B470" s="3" t="s">
        <v>723</v>
      </c>
      <c r="C470" s="2" t="s">
        <v>725</v>
      </c>
      <c r="D470" s="2" t="s">
        <v>46</v>
      </c>
      <c r="E470" s="2" t="s">
        <v>686</v>
      </c>
      <c r="F470" s="2" t="s">
        <v>13</v>
      </c>
      <c r="G470" s="2" t="s">
        <v>21</v>
      </c>
      <c r="H470" s="4" t="str">
        <f>HYPERLINK("https://www.sohu.com/a/947864853_121332524","https://www.sohu.com/a/947864853_121332524")</f>
        <v>https://www.sohu.com/a/947864853_121332524</v>
      </c>
      <c r="I470" s="3" t="s">
        <v>717</v>
      </c>
      <c r="J470" t="s">
        <v>16</v>
      </c>
    </row>
    <row r="471" ht="23" customHeight="1" spans="1:10">
      <c r="A471" s="2">
        <v>470</v>
      </c>
      <c r="B471" s="3" t="s">
        <v>723</v>
      </c>
      <c r="C471" s="2" t="s">
        <v>725</v>
      </c>
      <c r="D471" s="2" t="s">
        <v>46</v>
      </c>
      <c r="E471" s="2" t="s">
        <v>686</v>
      </c>
      <c r="F471" s="2" t="s">
        <v>37</v>
      </c>
      <c r="G471" s="2" t="s">
        <v>21</v>
      </c>
      <c r="H471" s="4" t="str">
        <f>HYPERLINK("https://3g.k.sohu.com/t/n941405972?serialId=68e2f89c4051eae6f876eebb554f6517&amp;showType=941405972","https://3g.k.sohu.com/t/n941405972?serialId=68e2f89c4051eae6f876eebb554f6517&amp;showType=941405972")</f>
        <v>https://3g.k.sohu.com/t/n941405972?serialId=68e2f89c4051eae6f876eebb554f6517&amp;showType=941405972</v>
      </c>
      <c r="I471" s="3" t="s">
        <v>717</v>
      </c>
      <c r="J471" t="s">
        <v>16</v>
      </c>
    </row>
    <row r="472" ht="23" customHeight="1" spans="1:10">
      <c r="A472" s="2">
        <v>471</v>
      </c>
      <c r="B472" s="3" t="s">
        <v>723</v>
      </c>
      <c r="C472" s="2" t="s">
        <v>726</v>
      </c>
      <c r="D472" s="2" t="s">
        <v>40</v>
      </c>
      <c r="E472" s="2" t="s">
        <v>684</v>
      </c>
      <c r="F472" s="2" t="s">
        <v>13</v>
      </c>
      <c r="G472" s="2" t="s">
        <v>21</v>
      </c>
      <c r="H472" s="4" t="str">
        <f>HYPERLINK("https://www.yoojia.com/article/9495150635222779791.html","https://www.yoojia.com/article/9495150635222779791.html")</f>
        <v>https://www.yoojia.com/article/9495150635222779791.html</v>
      </c>
      <c r="I472" s="3" t="s">
        <v>717</v>
      </c>
      <c r="J472" t="s">
        <v>16</v>
      </c>
    </row>
    <row r="473" ht="23" customHeight="1" spans="1:10">
      <c r="A473" s="2">
        <v>472</v>
      </c>
      <c r="B473" s="3" t="s">
        <v>723</v>
      </c>
      <c r="C473" s="2" t="s">
        <v>726</v>
      </c>
      <c r="D473" s="2" t="s">
        <v>41</v>
      </c>
      <c r="E473" s="2" t="s">
        <v>684</v>
      </c>
      <c r="F473" s="2" t="s">
        <v>13</v>
      </c>
      <c r="G473" s="2" t="s">
        <v>21</v>
      </c>
      <c r="H473" s="4" t="str">
        <f>HYPERLINK("https://mbd.baidu.com/newspage/data/landingshare?nid=news_9495150635222779791","https://mbd.baidu.com/newspage/data/landingshare?nid=news_9495150635222779791")</f>
        <v>https://mbd.baidu.com/newspage/data/landingshare?nid=news_9495150635222779791</v>
      </c>
      <c r="I473" s="3" t="s">
        <v>717</v>
      </c>
      <c r="J473" t="s">
        <v>16</v>
      </c>
    </row>
    <row r="474" ht="23" customHeight="1" spans="1:10">
      <c r="A474" s="2">
        <v>473</v>
      </c>
      <c r="B474" s="3" t="s">
        <v>723</v>
      </c>
      <c r="C474" s="2" t="s">
        <v>727</v>
      </c>
      <c r="D474" s="2" t="s">
        <v>286</v>
      </c>
      <c r="E474" s="2" t="s">
        <v>684</v>
      </c>
      <c r="F474" s="2" t="s">
        <v>13</v>
      </c>
      <c r="G474" s="2" t="s">
        <v>21</v>
      </c>
      <c r="H474" s="4" t="str">
        <f>HYPERLINK("https://www.360kuai.com/pc/detail?url=http%3A%2F%2Fzm.news.so.com%2Ff57fad8747a887321d3ce99b2bf2837d&amp;check=0a4756a954715dab","https://www.360kuai.com/pc/detail?url=http%3A%2F%2Fzm.news.so.com%2Ff57fad8747a887321d3ce99b2bf2837d&amp;check=0a4756a954715dab")</f>
        <v>https://www.360kuai.com/pc/detail?url=http%3A%2F%2Fzm.news.so.com%2Ff57fad8747a887321d3ce99b2bf2837d&amp;check=0a4756a954715dab</v>
      </c>
      <c r="I474" s="3" t="s">
        <v>717</v>
      </c>
      <c r="J474" t="s">
        <v>16</v>
      </c>
    </row>
    <row r="475" ht="23" customHeight="1" spans="1:10">
      <c r="A475" s="2">
        <v>474</v>
      </c>
      <c r="B475" s="3" t="s">
        <v>723</v>
      </c>
      <c r="C475" s="2" t="s">
        <v>727</v>
      </c>
      <c r="D475" s="2" t="s">
        <v>286</v>
      </c>
      <c r="E475" s="2" t="s">
        <v>684</v>
      </c>
      <c r="F475" s="2" t="s">
        <v>13</v>
      </c>
      <c r="G475" s="2" t="s">
        <v>21</v>
      </c>
      <c r="H475" s="4" t="str">
        <f>HYPERLINK("https://www.360kuai.com/91f50a82ddf386fd6","https://www.360kuai.com/91f50a82ddf386fd6")</f>
        <v>https://www.360kuai.com/91f50a82ddf386fd6</v>
      </c>
      <c r="I475" s="3" t="s">
        <v>717</v>
      </c>
      <c r="J475" t="s">
        <v>16</v>
      </c>
    </row>
    <row r="476" ht="23" customHeight="1" spans="1:10">
      <c r="A476" s="2">
        <v>475</v>
      </c>
      <c r="B476" s="3" t="s">
        <v>728</v>
      </c>
      <c r="C476" s="2" t="s">
        <v>729</v>
      </c>
      <c r="D476" s="2" t="s">
        <v>11</v>
      </c>
      <c r="E476" s="2" t="s">
        <v>722</v>
      </c>
      <c r="F476" s="2" t="s">
        <v>13</v>
      </c>
      <c r="G476" s="2" t="s">
        <v>26</v>
      </c>
      <c r="H476" s="4" t="str">
        <f>HYPERLINK("https://www.toutiao.com/article/7565431447843143686/","https://www.toutiao.com/article/7565431447843143686/")</f>
        <v>https://www.toutiao.com/article/7565431447843143686/</v>
      </c>
      <c r="I476" s="3" t="s">
        <v>730</v>
      </c>
      <c r="J476" t="s">
        <v>16</v>
      </c>
    </row>
    <row r="477" ht="23" customHeight="1" spans="1:10">
      <c r="A477" s="2">
        <v>476</v>
      </c>
      <c r="B477" s="3" t="s">
        <v>731</v>
      </c>
      <c r="C477" s="2" t="s">
        <v>732</v>
      </c>
      <c r="D477" s="2" t="s">
        <v>19</v>
      </c>
      <c r="E477" s="2" t="s">
        <v>733</v>
      </c>
      <c r="F477" s="2" t="s">
        <v>13</v>
      </c>
      <c r="G477" s="2" t="s">
        <v>21</v>
      </c>
      <c r="H477" s="4" t="str">
        <f>HYPERLINK("https://c.m.163.com/news/a/KCQBRPSG05129QAF.html","https://c.m.163.com/news/a/KCQBRPSG05129QAF.html")</f>
        <v>https://c.m.163.com/news/a/KCQBRPSG05129QAF.html</v>
      </c>
      <c r="I477" s="3" t="s">
        <v>734</v>
      </c>
      <c r="J477" t="s">
        <v>16</v>
      </c>
    </row>
    <row r="478" ht="23" customHeight="1" spans="1:10">
      <c r="A478" s="2">
        <v>477</v>
      </c>
      <c r="B478" s="3" t="s">
        <v>731</v>
      </c>
      <c r="C478" s="2" t="s">
        <v>735</v>
      </c>
      <c r="D478" s="2" t="s">
        <v>35</v>
      </c>
      <c r="E478" s="2" t="s">
        <v>733</v>
      </c>
      <c r="F478" s="2" t="s">
        <v>13</v>
      </c>
      <c r="G478" s="2" t="s">
        <v>21</v>
      </c>
      <c r="H478" s="4" t="str">
        <f>HYPERLINK("https://new.qq.com/rain/a/20251026A031P700","https://new.qq.com/rain/a/20251026A031P700")</f>
        <v>https://new.qq.com/rain/a/20251026A031P700</v>
      </c>
      <c r="I478" s="3" t="s">
        <v>734</v>
      </c>
      <c r="J478" t="s">
        <v>16</v>
      </c>
    </row>
    <row r="479" ht="23" customHeight="1" spans="1:10">
      <c r="A479" s="2">
        <v>478</v>
      </c>
      <c r="B479" s="3" t="s">
        <v>731</v>
      </c>
      <c r="C479" s="2" t="s">
        <v>735</v>
      </c>
      <c r="D479" s="2" t="s">
        <v>34</v>
      </c>
      <c r="E479" s="2" t="s">
        <v>733</v>
      </c>
      <c r="F479" s="2" t="s">
        <v>13</v>
      </c>
      <c r="G479" s="2" t="s">
        <v>21</v>
      </c>
      <c r="H479" s="4" t="str">
        <f>HYPERLINK("https://kandianshare.html5.qq.com/v2/news/5389999213631000898","https://kandianshare.html5.qq.com/v2/news/5389999213631000898")</f>
        <v>https://kandianshare.html5.qq.com/v2/news/5389999213631000898</v>
      </c>
      <c r="I479" s="3" t="s">
        <v>734</v>
      </c>
      <c r="J479" t="s">
        <v>16</v>
      </c>
    </row>
    <row r="480" ht="23" customHeight="1" spans="1:10">
      <c r="A480" s="2">
        <v>479</v>
      </c>
      <c r="B480" s="3" t="s">
        <v>731</v>
      </c>
      <c r="C480" s="2" t="s">
        <v>736</v>
      </c>
      <c r="D480" s="2" t="s">
        <v>11</v>
      </c>
      <c r="E480" s="2" t="s">
        <v>733</v>
      </c>
      <c r="F480" s="2" t="s">
        <v>13</v>
      </c>
      <c r="G480" s="2" t="s">
        <v>21</v>
      </c>
      <c r="H480" s="4" t="str">
        <f>HYPERLINK("https://www.toutiao.com/article/7565431593645392424/","https://www.toutiao.com/article/7565431593645392424/")</f>
        <v>https://www.toutiao.com/article/7565431593645392424/</v>
      </c>
      <c r="I480" s="3" t="s">
        <v>730</v>
      </c>
      <c r="J480" t="s">
        <v>16</v>
      </c>
    </row>
    <row r="481" ht="23" customHeight="1" spans="1:10">
      <c r="A481" s="2">
        <v>480</v>
      </c>
      <c r="B481" s="3" t="s">
        <v>731</v>
      </c>
      <c r="C481" s="2" t="s">
        <v>737</v>
      </c>
      <c r="D481" s="2" t="s">
        <v>46</v>
      </c>
      <c r="E481" s="2" t="s">
        <v>733</v>
      </c>
      <c r="F481" s="2" t="s">
        <v>37</v>
      </c>
      <c r="G481" s="2" t="s">
        <v>21</v>
      </c>
      <c r="H481" s="4" t="str">
        <f>HYPERLINK("https://3g.k.sohu.com/t/n941377523?serialId=5b160aeadf18b19646e7f6770d84ad24&amp;showType=941377523","https://3g.k.sohu.com/t/n941377523?serialId=5b160aeadf18b19646e7f6770d84ad24&amp;showType=941377523")</f>
        <v>https://3g.k.sohu.com/t/n941377523?serialId=5b160aeadf18b19646e7f6770d84ad24&amp;showType=941377523</v>
      </c>
      <c r="I481" s="3" t="s">
        <v>734</v>
      </c>
      <c r="J481" t="s">
        <v>16</v>
      </c>
    </row>
    <row r="482" ht="23" customHeight="1" spans="1:10">
      <c r="A482" s="2">
        <v>481</v>
      </c>
      <c r="B482" s="3" t="s">
        <v>731</v>
      </c>
      <c r="C482" s="2" t="s">
        <v>737</v>
      </c>
      <c r="D482" s="2" t="s">
        <v>46</v>
      </c>
      <c r="E482" s="2" t="s">
        <v>733</v>
      </c>
      <c r="F482" s="2" t="s">
        <v>13</v>
      </c>
      <c r="G482" s="2" t="s">
        <v>21</v>
      </c>
      <c r="H482" s="4" t="str">
        <f>HYPERLINK("https://www.sohu.com/a/947691473_161795","https://www.sohu.com/a/947691473_161795")</f>
        <v>https://www.sohu.com/a/947691473_161795</v>
      </c>
      <c r="I482" s="3" t="s">
        <v>734</v>
      </c>
      <c r="J482" t="s">
        <v>16</v>
      </c>
    </row>
    <row r="483" ht="23" customHeight="1" spans="1:10">
      <c r="A483" s="2">
        <v>482</v>
      </c>
      <c r="B483" s="3" t="s">
        <v>738</v>
      </c>
      <c r="C483" s="2" t="s">
        <v>739</v>
      </c>
      <c r="D483" s="2" t="s">
        <v>450</v>
      </c>
      <c r="E483" s="2" t="s">
        <v>733</v>
      </c>
      <c r="F483" s="2" t="s">
        <v>37</v>
      </c>
      <c r="G483" s="2" t="s">
        <v>21</v>
      </c>
      <c r="H483" s="4" t="str">
        <f>HYPERLINK("http://m.uczzd.cn/ucnews/news?aid=7855905420803376278","http://m.uczzd.cn/ucnews/news?aid=7855905420803376278")</f>
        <v>http://m.uczzd.cn/ucnews/news?aid=7855905420803376278</v>
      </c>
      <c r="I483" s="3" t="s">
        <v>734</v>
      </c>
      <c r="J483" t="s">
        <v>16</v>
      </c>
    </row>
    <row r="484" ht="23" customHeight="1" spans="1:10">
      <c r="A484" s="2">
        <v>483</v>
      </c>
      <c r="B484" s="3" t="s">
        <v>731</v>
      </c>
      <c r="C484" s="2" t="s">
        <v>740</v>
      </c>
      <c r="D484" s="2" t="s">
        <v>40</v>
      </c>
      <c r="E484" s="2" t="s">
        <v>733</v>
      </c>
      <c r="F484" s="2" t="s">
        <v>13</v>
      </c>
      <c r="G484" s="2" t="s">
        <v>21</v>
      </c>
      <c r="H484" s="4" t="str">
        <f>HYPERLINK("https://www.yoojia.com/article/9389295952045306206.html","https://www.yoojia.com/article/9389295952045306206.html")</f>
        <v>https://www.yoojia.com/article/9389295952045306206.html</v>
      </c>
      <c r="I484" s="3" t="s">
        <v>730</v>
      </c>
      <c r="J484" t="s">
        <v>16</v>
      </c>
    </row>
    <row r="485" ht="23" customHeight="1" spans="1:10">
      <c r="A485" s="2">
        <v>484</v>
      </c>
      <c r="B485" s="3" t="s">
        <v>731</v>
      </c>
      <c r="C485" s="2" t="s">
        <v>740</v>
      </c>
      <c r="D485" s="2" t="s">
        <v>41</v>
      </c>
      <c r="E485" s="2" t="s">
        <v>733</v>
      </c>
      <c r="F485" s="2" t="s">
        <v>13</v>
      </c>
      <c r="G485" s="2" t="s">
        <v>21</v>
      </c>
      <c r="H485" s="4" t="str">
        <f>HYPERLINK("https://mbd.baidu.com/newspage/data/landingshare?nid=news_9389295952045306206","https://mbd.baidu.com/newspage/data/landingshare?nid=news_9389295952045306206")</f>
        <v>https://mbd.baidu.com/newspage/data/landingshare?nid=news_9389295952045306206</v>
      </c>
      <c r="I485" s="3" t="s">
        <v>730</v>
      </c>
      <c r="J485" t="s">
        <v>16</v>
      </c>
    </row>
    <row r="486" ht="23" customHeight="1" spans="1:10">
      <c r="A486" s="2">
        <v>485</v>
      </c>
      <c r="B486" s="3" t="s">
        <v>731</v>
      </c>
      <c r="C486" s="2" t="s">
        <v>740</v>
      </c>
      <c r="D486" s="2" t="s">
        <v>46</v>
      </c>
      <c r="E486" s="2" t="s">
        <v>733</v>
      </c>
      <c r="F486" s="2" t="s">
        <v>37</v>
      </c>
      <c r="G486" s="2" t="s">
        <v>21</v>
      </c>
      <c r="H486" s="4" t="str">
        <f>HYPERLINK("https://3g.k.sohu.com/t/n941310814?serialId=6c3a8a2bdd1496f00551b78d25fb848f&amp;showType=941310814","https://3g.k.sohu.com/t/n941310814?serialId=6c3a8a2bdd1496f00551b78d25fb848f&amp;showType=941310814")</f>
        <v>https://3g.k.sohu.com/t/n941310814?serialId=6c3a8a2bdd1496f00551b78d25fb848f&amp;showType=941310814</v>
      </c>
      <c r="I486" s="3" t="s">
        <v>734</v>
      </c>
      <c r="J486" t="s">
        <v>16</v>
      </c>
    </row>
    <row r="487" ht="23" customHeight="1" spans="1:10">
      <c r="A487" s="2">
        <v>486</v>
      </c>
      <c r="B487" s="3" t="s">
        <v>694</v>
      </c>
      <c r="C487" s="2" t="s">
        <v>741</v>
      </c>
      <c r="D487" s="2" t="s">
        <v>273</v>
      </c>
      <c r="E487" s="2" t="s">
        <v>273</v>
      </c>
      <c r="F487" s="2" t="s">
        <v>37</v>
      </c>
      <c r="G487" s="2" t="s">
        <v>14</v>
      </c>
      <c r="H487" s="4" t="str">
        <f>HYPERLINK("http://app.people.cn/h5/detail/normal/6548584043758592","http://app.people.cn/h5/detail/normal/6548584043758592")</f>
        <v>http://app.people.cn/h5/detail/normal/6548584043758592</v>
      </c>
      <c r="I487" s="3" t="s">
        <v>696</v>
      </c>
      <c r="J487" t="s">
        <v>16</v>
      </c>
    </row>
    <row r="488" ht="23" customHeight="1" spans="1:10">
      <c r="A488" s="2">
        <v>487</v>
      </c>
      <c r="B488" s="3" t="s">
        <v>742</v>
      </c>
      <c r="C488" s="2" t="s">
        <v>743</v>
      </c>
      <c r="D488" s="2" t="s">
        <v>668</v>
      </c>
      <c r="E488" s="2" t="s">
        <v>668</v>
      </c>
      <c r="F488" s="2" t="s">
        <v>37</v>
      </c>
      <c r="G488" s="2" t="s">
        <v>21</v>
      </c>
      <c r="H488" s="4" t="str">
        <f>HYPERLINK("https://sdxw.iqilu.com/share/YS0yMS0xNjg0MDY1OQ.html","https://sdxw.iqilu.com/share/YS0yMS0xNjg0MDY1OQ.html")</f>
        <v>https://sdxw.iqilu.com/share/YS0yMS0xNjg0MDY1OQ.html</v>
      </c>
      <c r="I488" s="3" t="s">
        <v>696</v>
      </c>
      <c r="J488" t="s">
        <v>16</v>
      </c>
    </row>
    <row r="489" ht="23" customHeight="1" spans="1:10">
      <c r="A489" s="2">
        <v>488</v>
      </c>
      <c r="B489" s="3" t="s">
        <v>742</v>
      </c>
      <c r="C489" s="2" t="s">
        <v>744</v>
      </c>
      <c r="D489" s="2" t="s">
        <v>745</v>
      </c>
      <c r="E489" s="2" t="s">
        <v>746</v>
      </c>
      <c r="F489" s="2" t="s">
        <v>13</v>
      </c>
      <c r="G489" s="2" t="s">
        <v>26</v>
      </c>
      <c r="H489" s="4" t="str">
        <f>HYPERLINK("https://mini.eastday.com/nsa/251025165421262643856.html","https://mini.eastday.com/nsa/251025165421262643856.html")</f>
        <v>https://mini.eastday.com/nsa/251025165421262643856.html</v>
      </c>
      <c r="I489" s="3" t="s">
        <v>696</v>
      </c>
      <c r="J489" t="s">
        <v>16</v>
      </c>
    </row>
    <row r="490" ht="23" customHeight="1" spans="1:10">
      <c r="A490" s="2">
        <v>489</v>
      </c>
      <c r="B490" s="3" t="s">
        <v>742</v>
      </c>
      <c r="C490" s="2" t="s">
        <v>747</v>
      </c>
      <c r="D490" s="2" t="s">
        <v>19</v>
      </c>
      <c r="E490" s="2" t="s">
        <v>748</v>
      </c>
      <c r="F490" s="2" t="s">
        <v>13</v>
      </c>
      <c r="G490" s="2" t="s">
        <v>21</v>
      </c>
      <c r="H490" s="4" t="str">
        <f>HYPERLINK("https://c.m.163.com/news/a/KCNSM07E0530WJIN.html","https://c.m.163.com/news/a/KCNSM07E0530WJIN.html")</f>
        <v>https://c.m.163.com/news/a/KCNSM07E0530WJIN.html</v>
      </c>
      <c r="I490" s="3" t="s">
        <v>696</v>
      </c>
      <c r="J490" t="s">
        <v>16</v>
      </c>
    </row>
    <row r="491" ht="23" customHeight="1" spans="1:10">
      <c r="A491" s="2">
        <v>490</v>
      </c>
      <c r="B491" s="3" t="s">
        <v>742</v>
      </c>
      <c r="C491" s="2" t="s">
        <v>749</v>
      </c>
      <c r="D491" s="2" t="s">
        <v>11</v>
      </c>
      <c r="E491" s="2" t="s">
        <v>748</v>
      </c>
      <c r="F491" s="2" t="s">
        <v>13</v>
      </c>
      <c r="G491" s="2" t="s">
        <v>21</v>
      </c>
      <c r="H491" s="4" t="str">
        <f>HYPERLINK("https://www.toutiao.com/article/7565074996855439908/","https://www.toutiao.com/article/7565074996855439908/")</f>
        <v>https://www.toutiao.com/article/7565074996855439908/</v>
      </c>
      <c r="I491" s="3" t="s">
        <v>696</v>
      </c>
      <c r="J491" t="s">
        <v>16</v>
      </c>
    </row>
    <row r="492" ht="23" customHeight="1" spans="1:10">
      <c r="A492" s="2">
        <v>491</v>
      </c>
      <c r="B492" s="3" t="s">
        <v>742</v>
      </c>
      <c r="C492" s="2" t="s">
        <v>750</v>
      </c>
      <c r="D492" s="2" t="s">
        <v>387</v>
      </c>
      <c r="E492" s="2" t="s">
        <v>746</v>
      </c>
      <c r="F492" s="2" t="s">
        <v>13</v>
      </c>
      <c r="G492" s="2" t="s">
        <v>26</v>
      </c>
      <c r="H492" s="4" t="str">
        <f>HYPERLINK("https://qlwb.com.cn/detail/26792229.html","https://qlwb.com.cn/detail/26792229.html")</f>
        <v>https://qlwb.com.cn/detail/26792229.html</v>
      </c>
      <c r="I492" s="3" t="s">
        <v>696</v>
      </c>
      <c r="J492" t="s">
        <v>16</v>
      </c>
    </row>
    <row r="493" ht="23" customHeight="1" spans="1:10">
      <c r="A493" s="2">
        <v>492</v>
      </c>
      <c r="B493" s="3" t="s">
        <v>742</v>
      </c>
      <c r="C493" s="2" t="s">
        <v>750</v>
      </c>
      <c r="D493" s="2" t="s">
        <v>751</v>
      </c>
      <c r="E493" s="2" t="s">
        <v>746</v>
      </c>
      <c r="F493" s="2" t="s">
        <v>13</v>
      </c>
      <c r="G493" s="2" t="s">
        <v>26</v>
      </c>
      <c r="H493" s="4" t="str">
        <f>HYPERLINK("https://ql1d.com/general/26792229.html","https://ql1d.com/general/26792229.html")</f>
        <v>https://ql1d.com/general/26792229.html</v>
      </c>
      <c r="I493" s="3" t="s">
        <v>696</v>
      </c>
      <c r="J493" t="s">
        <v>16</v>
      </c>
    </row>
    <row r="494" ht="23" customHeight="1" spans="1:10">
      <c r="A494" s="2">
        <v>493</v>
      </c>
      <c r="B494" s="3" t="s">
        <v>742</v>
      </c>
      <c r="C494" s="2" t="s">
        <v>752</v>
      </c>
      <c r="D494" s="2" t="s">
        <v>40</v>
      </c>
      <c r="E494" s="2" t="s">
        <v>748</v>
      </c>
      <c r="F494" s="2" t="s">
        <v>13</v>
      </c>
      <c r="G494" s="2" t="s">
        <v>21</v>
      </c>
      <c r="H494" s="4" t="str">
        <f>HYPERLINK("https://www.yoojia.com/article/9478504007660247436.html","https://www.yoojia.com/article/9478504007660247436.html")</f>
        <v>https://www.yoojia.com/article/9478504007660247436.html</v>
      </c>
      <c r="I494" s="3" t="s">
        <v>696</v>
      </c>
      <c r="J494" t="s">
        <v>16</v>
      </c>
    </row>
    <row r="495" ht="23" customHeight="1" spans="1:10">
      <c r="A495" s="2">
        <v>494</v>
      </c>
      <c r="B495" s="3" t="s">
        <v>742</v>
      </c>
      <c r="C495" s="2" t="s">
        <v>752</v>
      </c>
      <c r="D495" s="2" t="s">
        <v>107</v>
      </c>
      <c r="E495" s="2" t="s">
        <v>753</v>
      </c>
      <c r="F495" s="2" t="s">
        <v>13</v>
      </c>
      <c r="G495" s="2" t="s">
        <v>21</v>
      </c>
      <c r="H495" s="4" t="str">
        <f>HYPERLINK("https://k.sina.cn/article_5328858693_13d9fee45020028qvw.html","https://k.sina.cn/article_5328858693_13d9fee45020028qvw.html")</f>
        <v>https://k.sina.cn/article_5328858693_13d9fee45020028qvw.html</v>
      </c>
      <c r="I495" s="3" t="s">
        <v>696</v>
      </c>
      <c r="J495" t="s">
        <v>16</v>
      </c>
    </row>
    <row r="496" ht="23" customHeight="1" spans="1:10">
      <c r="A496" s="2">
        <v>495</v>
      </c>
      <c r="B496" s="3" t="s">
        <v>742</v>
      </c>
      <c r="C496" s="2" t="s">
        <v>752</v>
      </c>
      <c r="D496" s="2" t="s">
        <v>41</v>
      </c>
      <c r="E496" s="2" t="s">
        <v>748</v>
      </c>
      <c r="F496" s="2" t="s">
        <v>13</v>
      </c>
      <c r="G496" s="2" t="s">
        <v>21</v>
      </c>
      <c r="H496" s="4" t="str">
        <f>HYPERLINK("https://mbd.baidu.com/newspage/data/landingshare?nid=news_9478504007660247436","https://mbd.baidu.com/newspage/data/landingshare?nid=news_9478504007660247436")</f>
        <v>https://mbd.baidu.com/newspage/data/landingshare?nid=news_9478504007660247436</v>
      </c>
      <c r="I496" s="3" t="s">
        <v>696</v>
      </c>
      <c r="J496" t="s">
        <v>16</v>
      </c>
    </row>
    <row r="497" ht="23" customHeight="1" spans="1:10">
      <c r="A497" s="2">
        <v>496</v>
      </c>
      <c r="B497" s="3" t="s">
        <v>754</v>
      </c>
      <c r="C497" s="2" t="s">
        <v>752</v>
      </c>
      <c r="D497" s="2" t="s">
        <v>450</v>
      </c>
      <c r="E497" s="2" t="s">
        <v>748</v>
      </c>
      <c r="F497" s="2" t="s">
        <v>37</v>
      </c>
      <c r="G497" s="2" t="s">
        <v>21</v>
      </c>
      <c r="H497" s="4" t="str">
        <f>HYPERLINK("http://m.uczzd.cn/ucnews/news?aid=13550708555925210039","http://m.uczzd.cn/ucnews/news?aid=13550708555925210039")</f>
        <v>http://m.uczzd.cn/ucnews/news?aid=13550708555925210039</v>
      </c>
      <c r="I497" s="3" t="s">
        <v>696</v>
      </c>
      <c r="J497" t="s">
        <v>16</v>
      </c>
    </row>
    <row r="498" ht="23" customHeight="1" spans="1:10">
      <c r="A498" s="2">
        <v>497</v>
      </c>
      <c r="B498" s="3" t="s">
        <v>755</v>
      </c>
      <c r="C498" s="2" t="s">
        <v>756</v>
      </c>
      <c r="D498" s="2" t="s">
        <v>41</v>
      </c>
      <c r="E498" s="2" t="s">
        <v>126</v>
      </c>
      <c r="F498" s="2" t="s">
        <v>13</v>
      </c>
      <c r="G498" s="2" t="s">
        <v>21</v>
      </c>
      <c r="H498" s="4" t="str">
        <f>HYPERLINK("https://mbd.baidu.com/newspage/data/landingshare?nid=news_9659139929885005100","https://mbd.baidu.com/newspage/data/landingshare?nid=news_9659139929885005100")</f>
        <v>https://mbd.baidu.com/newspage/data/landingshare?nid=news_9659139929885005100</v>
      </c>
      <c r="I498" s="3" t="s">
        <v>757</v>
      </c>
      <c r="J498" t="s">
        <v>16</v>
      </c>
    </row>
    <row r="499" ht="23" customHeight="1" spans="1:10">
      <c r="A499" s="2">
        <v>498</v>
      </c>
      <c r="B499" s="3" t="s">
        <v>755</v>
      </c>
      <c r="C499" s="2" t="s">
        <v>756</v>
      </c>
      <c r="D499" s="2" t="s">
        <v>40</v>
      </c>
      <c r="E499" s="2" t="s">
        <v>126</v>
      </c>
      <c r="F499" s="2" t="s">
        <v>13</v>
      </c>
      <c r="G499" s="2" t="s">
        <v>21</v>
      </c>
      <c r="H499" s="4" t="str">
        <f>HYPERLINK("https://www.yoojia.com/article/9659139929885005100.html","https://www.yoojia.com/article/9659139929885005100.html")</f>
        <v>https://www.yoojia.com/article/9659139929885005100.html</v>
      </c>
      <c r="I499" s="3" t="s">
        <v>757</v>
      </c>
      <c r="J499" t="s">
        <v>16</v>
      </c>
    </row>
    <row r="500" ht="23" customHeight="1" spans="1:10">
      <c r="A500" s="2">
        <v>499</v>
      </c>
      <c r="B500" s="3" t="s">
        <v>758</v>
      </c>
      <c r="C500" s="2" t="s">
        <v>759</v>
      </c>
      <c r="D500" s="2" t="s">
        <v>327</v>
      </c>
      <c r="E500" s="2" t="s">
        <v>760</v>
      </c>
      <c r="F500" s="2" t="s">
        <v>37</v>
      </c>
      <c r="G500" s="2" t="s">
        <v>21</v>
      </c>
      <c r="H500" s="4" t="str">
        <f>HYPERLINK("https://static.dingxinwen.com/dd-sharepage/detail/index.html?id=145BDEE243BF4479#/","https://static.dingxinwen.com/dd-sharepage/detail/index.html?id=145BDEE243BF4479#/")</f>
        <v>https://static.dingxinwen.com/dd-sharepage/detail/index.html?id=145BDEE243BF4479#/</v>
      </c>
      <c r="I500" s="3" t="s">
        <v>761</v>
      </c>
      <c r="J500" t="s">
        <v>16</v>
      </c>
    </row>
    <row r="501" ht="23" customHeight="1" spans="1:10">
      <c r="A501" s="2">
        <v>500</v>
      </c>
      <c r="B501" s="3" t="s">
        <v>758</v>
      </c>
      <c r="C501" s="2" t="s">
        <v>762</v>
      </c>
      <c r="D501" s="2" t="s">
        <v>327</v>
      </c>
      <c r="E501" s="2" t="s">
        <v>327</v>
      </c>
      <c r="F501" s="2" t="s">
        <v>13</v>
      </c>
      <c r="G501" s="2" t="s">
        <v>21</v>
      </c>
      <c r="H501" s="4" t="str">
        <f>HYPERLINK("https://www.dingxinwen.cn/detail/145BDEE243BF4479","https://www.dingxinwen.cn/detail/145BDEE243BF4479")</f>
        <v>https://www.dingxinwen.cn/detail/145BDEE243BF4479</v>
      </c>
      <c r="I501" s="3" t="s">
        <v>761</v>
      </c>
      <c r="J501" t="s">
        <v>16</v>
      </c>
    </row>
    <row r="502" ht="23" customHeight="1" spans="1:10">
      <c r="A502" s="2">
        <v>501</v>
      </c>
      <c r="B502" s="3" t="s">
        <v>763</v>
      </c>
      <c r="C502" s="2" t="s">
        <v>764</v>
      </c>
      <c r="D502" s="2" t="s">
        <v>765</v>
      </c>
      <c r="E502" s="2" t="s">
        <v>766</v>
      </c>
      <c r="F502" s="2" t="s">
        <v>37</v>
      </c>
      <c r="G502" s="2" t="s">
        <v>26</v>
      </c>
      <c r="H502" s="4" t="str">
        <f>HYPERLINK("https://app.suzhou-news.cn/news/300745119","https://app.suzhou-news.cn/news/300745119")</f>
        <v>https://app.suzhou-news.cn/news/300745119</v>
      </c>
      <c r="I502" s="3" t="s">
        <v>767</v>
      </c>
      <c r="J502" t="s">
        <v>16</v>
      </c>
    </row>
    <row r="503" ht="23" customHeight="1" spans="1:10">
      <c r="A503" s="2">
        <v>502</v>
      </c>
      <c r="B503" s="3" t="s">
        <v>768</v>
      </c>
      <c r="C503" s="2" t="s">
        <v>769</v>
      </c>
      <c r="D503" s="2" t="s">
        <v>11</v>
      </c>
      <c r="E503" s="2" t="s">
        <v>126</v>
      </c>
      <c r="F503" s="2" t="s">
        <v>13</v>
      </c>
      <c r="G503" s="2" t="s">
        <v>21</v>
      </c>
      <c r="H503" s="4" t="str">
        <f>HYPERLINK("https://www.toutiao.com/w/1846082556270592/","https://www.toutiao.com/w/1846082556270592/")</f>
        <v>https://www.toutiao.com/w/1846082556270592/</v>
      </c>
      <c r="I503" s="3" t="s">
        <v>770</v>
      </c>
      <c r="J503" t="s">
        <v>16</v>
      </c>
    </row>
    <row r="504" ht="23" customHeight="1" spans="1:10">
      <c r="A504" s="2">
        <v>503</v>
      </c>
      <c r="B504" s="3" t="s">
        <v>771</v>
      </c>
      <c r="C504" s="2" t="s">
        <v>772</v>
      </c>
      <c r="D504" s="2" t="s">
        <v>11</v>
      </c>
      <c r="E504" s="2" t="s">
        <v>126</v>
      </c>
      <c r="F504" s="2" t="s">
        <v>13</v>
      </c>
      <c r="G504" s="2" t="s">
        <v>21</v>
      </c>
      <c r="H504" s="4" t="str">
        <f>HYPERLINK("https://www.toutiao.com/article/7561553849249432127/","https://www.toutiao.com/article/7561553849249432127/")</f>
        <v>https://www.toutiao.com/article/7561553849249432127/</v>
      </c>
      <c r="I504" s="3" t="s">
        <v>773</v>
      </c>
      <c r="J504" t="s">
        <v>16</v>
      </c>
    </row>
    <row r="505" ht="23" customHeight="1" spans="1:10">
      <c r="A505" s="2">
        <v>504</v>
      </c>
      <c r="B505" s="3" t="s">
        <v>771</v>
      </c>
      <c r="C505" s="2" t="s">
        <v>774</v>
      </c>
      <c r="D505" s="2" t="s">
        <v>40</v>
      </c>
      <c r="E505" s="2" t="s">
        <v>126</v>
      </c>
      <c r="F505" s="2" t="s">
        <v>13</v>
      </c>
      <c r="G505" s="2" t="s">
        <v>21</v>
      </c>
      <c r="H505" s="4" t="str">
        <f>HYPERLINK("https://www.yoojia.com/article/9897163753267330604.html","https://www.yoojia.com/article/9897163753267330604.html")</f>
        <v>https://www.yoojia.com/article/9897163753267330604.html</v>
      </c>
      <c r="I505" s="3" t="s">
        <v>773</v>
      </c>
      <c r="J505" t="s">
        <v>16</v>
      </c>
    </row>
    <row r="506" ht="23" customHeight="1" spans="1:10">
      <c r="A506" s="2">
        <v>505</v>
      </c>
      <c r="B506" s="3" t="s">
        <v>771</v>
      </c>
      <c r="C506" s="2" t="s">
        <v>774</v>
      </c>
      <c r="D506" s="2" t="s">
        <v>41</v>
      </c>
      <c r="E506" s="2" t="s">
        <v>126</v>
      </c>
      <c r="F506" s="2" t="s">
        <v>13</v>
      </c>
      <c r="G506" s="2" t="s">
        <v>21</v>
      </c>
      <c r="H506" s="4" t="str">
        <f>HYPERLINK("https://mbd.baidu.com/newspage/data/landingshare?nid=news_9897163753267330604","https://mbd.baidu.com/newspage/data/landingshare?nid=news_9897163753267330604")</f>
        <v>https://mbd.baidu.com/newspage/data/landingshare?nid=news_9897163753267330604</v>
      </c>
      <c r="I506" s="3" t="s">
        <v>773</v>
      </c>
      <c r="J506" t="s">
        <v>16</v>
      </c>
    </row>
    <row r="507" ht="23" customHeight="1" spans="1:10">
      <c r="A507" s="2">
        <v>506</v>
      </c>
      <c r="B507" s="3" t="s">
        <v>771</v>
      </c>
      <c r="C507" s="2" t="s">
        <v>775</v>
      </c>
      <c r="D507" s="2" t="s">
        <v>41</v>
      </c>
      <c r="E507" s="2" t="s">
        <v>20</v>
      </c>
      <c r="F507" s="2" t="s">
        <v>13</v>
      </c>
      <c r="G507" s="2" t="s">
        <v>21</v>
      </c>
      <c r="H507" s="4" t="str">
        <f>HYPERLINK("https://mbd.baidu.com/newspage/data/landingshare?nid=news_9496677414449820475","https://mbd.baidu.com/newspage/data/landingshare?nid=news_9496677414449820475")</f>
        <v>https://mbd.baidu.com/newspage/data/landingshare?nid=news_9496677414449820475</v>
      </c>
      <c r="I507" s="3" t="s">
        <v>773</v>
      </c>
      <c r="J507" t="s">
        <v>16</v>
      </c>
    </row>
    <row r="508" ht="23" customHeight="1" spans="1:10">
      <c r="A508" s="2">
        <v>507</v>
      </c>
      <c r="B508" s="3" t="s">
        <v>771</v>
      </c>
      <c r="C508" s="2" t="s">
        <v>775</v>
      </c>
      <c r="D508" s="2" t="s">
        <v>40</v>
      </c>
      <c r="E508" s="2" t="s">
        <v>20</v>
      </c>
      <c r="F508" s="2" t="s">
        <v>13</v>
      </c>
      <c r="G508" s="2" t="s">
        <v>21</v>
      </c>
      <c r="H508" s="4" t="str">
        <f>HYPERLINK("https://www.yoojia.com/article/9496677414449820475.html","https://www.yoojia.com/article/9496677414449820475.html")</f>
        <v>https://www.yoojia.com/article/9496677414449820475.html</v>
      </c>
      <c r="I508" s="3" t="s">
        <v>773</v>
      </c>
      <c r="J508" t="s">
        <v>16</v>
      </c>
    </row>
    <row r="509" ht="23" customHeight="1" spans="1:10">
      <c r="A509" s="2">
        <v>508</v>
      </c>
      <c r="B509" s="3" t="s">
        <v>771</v>
      </c>
      <c r="C509" s="2" t="s">
        <v>776</v>
      </c>
      <c r="D509" s="2" t="s">
        <v>334</v>
      </c>
      <c r="E509" s="2" t="s">
        <v>334</v>
      </c>
      <c r="F509" s="2" t="s">
        <v>37</v>
      </c>
      <c r="G509" s="2" t="s">
        <v>26</v>
      </c>
      <c r="H509" s="4" t="str">
        <f>HYPERLINK("https://j.021east.com/m/1760519700040454","https://j.021east.com/m/1760519700040454")</f>
        <v>https://j.021east.com/m/1760519700040454</v>
      </c>
      <c r="I509" s="3" t="s">
        <v>777</v>
      </c>
      <c r="J509" t="s">
        <v>16</v>
      </c>
    </row>
    <row r="510" ht="23" customHeight="1" spans="1:10">
      <c r="A510" s="2">
        <v>509</v>
      </c>
      <c r="B510" s="3" t="s">
        <v>778</v>
      </c>
      <c r="C510" s="2" t="s">
        <v>779</v>
      </c>
      <c r="D510" s="2" t="s">
        <v>436</v>
      </c>
      <c r="E510" s="2" t="s">
        <v>436</v>
      </c>
      <c r="F510" s="2" t="s">
        <v>13</v>
      </c>
      <c r="G510" s="2" t="s">
        <v>26</v>
      </c>
      <c r="H510" s="4" t="str">
        <f>HYPERLINK("https://www.csjcs.com/news/show/69633d87f2755687.html","https://www.csjcs.com/news/show/69633d87f2755687.html")</f>
        <v>https://www.csjcs.com/news/show/69633d87f2755687.html</v>
      </c>
      <c r="I510" s="3" t="s">
        <v>780</v>
      </c>
      <c r="J510" t="s">
        <v>16</v>
      </c>
    </row>
    <row r="511" ht="23" customHeight="1" spans="1:10">
      <c r="A511" s="2">
        <v>510</v>
      </c>
      <c r="B511" s="3" t="s">
        <v>781</v>
      </c>
      <c r="C511" s="2" t="s">
        <v>782</v>
      </c>
      <c r="D511" s="2" t="s">
        <v>40</v>
      </c>
      <c r="E511" s="2" t="s">
        <v>20</v>
      </c>
      <c r="F511" s="2" t="s">
        <v>13</v>
      </c>
      <c r="G511" s="2" t="s">
        <v>21</v>
      </c>
      <c r="H511" s="4" t="str">
        <f>HYPERLINK("https://www.yoojia.com/article/9638279196290748752.html","https://www.yoojia.com/article/9638279196290748752.html")</f>
        <v>https://www.yoojia.com/article/9638279196290748752.html</v>
      </c>
      <c r="I511" s="3" t="s">
        <v>783</v>
      </c>
      <c r="J511" t="s">
        <v>16</v>
      </c>
    </row>
    <row r="512" ht="23" customHeight="1" spans="1:10">
      <c r="A512" s="2">
        <v>511</v>
      </c>
      <c r="B512" s="3" t="s">
        <v>781</v>
      </c>
      <c r="C512" s="2" t="s">
        <v>782</v>
      </c>
      <c r="D512" s="2" t="s">
        <v>41</v>
      </c>
      <c r="E512" s="2" t="s">
        <v>20</v>
      </c>
      <c r="F512" s="2" t="s">
        <v>13</v>
      </c>
      <c r="G512" s="2" t="s">
        <v>21</v>
      </c>
      <c r="H512" s="4" t="str">
        <f>HYPERLINK("https://mbd.baidu.com/newspage/data/landingshare?nid=news_9638279196290748752","https://mbd.baidu.com/newspage/data/landingshare?nid=news_9638279196290748752")</f>
        <v>https://mbd.baidu.com/newspage/data/landingshare?nid=news_9638279196290748752</v>
      </c>
      <c r="I512" s="3" t="s">
        <v>783</v>
      </c>
      <c r="J512" t="s">
        <v>16</v>
      </c>
    </row>
    <row r="513" ht="23" customHeight="1" spans="1:10">
      <c r="A513" s="2">
        <v>512</v>
      </c>
      <c r="B513" s="3" t="s">
        <v>784</v>
      </c>
      <c r="C513" s="2" t="s">
        <v>785</v>
      </c>
      <c r="D513" s="2" t="s">
        <v>11</v>
      </c>
      <c r="E513" s="2" t="s">
        <v>200</v>
      </c>
      <c r="F513" s="2" t="s">
        <v>13</v>
      </c>
      <c r="G513" s="2" t="s">
        <v>201</v>
      </c>
      <c r="H513" s="4" t="str">
        <f>HYPERLINK("https://www.toutiao.com/article/7553941009322148362/","https://www.toutiao.com/article/7553941009322148362/")</f>
        <v>https://www.toutiao.com/article/7553941009322148362/</v>
      </c>
      <c r="I513" s="3" t="s">
        <v>786</v>
      </c>
      <c r="J513" t="s">
        <v>16</v>
      </c>
    </row>
    <row r="514" ht="23" customHeight="1" spans="1:10">
      <c r="A514" s="2">
        <v>513</v>
      </c>
      <c r="B514" s="3" t="s">
        <v>784</v>
      </c>
      <c r="C514" s="2" t="s">
        <v>787</v>
      </c>
      <c r="D514" s="2" t="s">
        <v>41</v>
      </c>
      <c r="E514" s="2" t="s">
        <v>200</v>
      </c>
      <c r="F514" s="2" t="s">
        <v>13</v>
      </c>
      <c r="G514" s="2" t="s">
        <v>201</v>
      </c>
      <c r="H514" s="4" t="str">
        <f>HYPERLINK("https://mbd.baidu.com/newspage/data/landingshare?nid=news_9975039129465919811","https://mbd.baidu.com/newspage/data/landingshare?nid=news_9975039129465919811")</f>
        <v>https://mbd.baidu.com/newspage/data/landingshare?nid=news_9975039129465919811</v>
      </c>
      <c r="I514" s="3" t="s">
        <v>786</v>
      </c>
      <c r="J514" t="s">
        <v>16</v>
      </c>
    </row>
    <row r="515" ht="23" customHeight="1" spans="1:10">
      <c r="A515" s="2">
        <v>514</v>
      </c>
      <c r="B515" s="3" t="s">
        <v>784</v>
      </c>
      <c r="C515" s="2" t="s">
        <v>787</v>
      </c>
      <c r="D515" s="2" t="s">
        <v>46</v>
      </c>
      <c r="E515" s="2" t="s">
        <v>200</v>
      </c>
      <c r="F515" s="2" t="s">
        <v>37</v>
      </c>
      <c r="G515" s="2" t="s">
        <v>201</v>
      </c>
      <c r="H515" s="4" t="str">
        <f>HYPERLINK("https://3g.k.sohu.com/t/n932400125?serialId=d44b680dd2d6723ad02a60a8e14e29b3&amp;showType=932400125","https://3g.k.sohu.com/t/n932400125?serialId=d44b680dd2d6723ad02a60a8e14e29b3&amp;showType=932400125")</f>
        <v>https://3g.k.sohu.com/t/n932400125?serialId=d44b680dd2d6723ad02a60a8e14e29b3&amp;showType=932400125</v>
      </c>
      <c r="I515" s="3" t="s">
        <v>786</v>
      </c>
      <c r="J515" t="s">
        <v>16</v>
      </c>
    </row>
    <row r="516" ht="23" customHeight="1" spans="1:10">
      <c r="A516" s="2">
        <v>515</v>
      </c>
      <c r="B516" s="3" t="s">
        <v>784</v>
      </c>
      <c r="C516" s="2" t="s">
        <v>787</v>
      </c>
      <c r="D516" s="2" t="s">
        <v>46</v>
      </c>
      <c r="E516" s="2" t="s">
        <v>200</v>
      </c>
      <c r="F516" s="2" t="s">
        <v>13</v>
      </c>
      <c r="G516" s="2" t="s">
        <v>201</v>
      </c>
      <c r="H516" s="4" t="str">
        <f>HYPERLINK("https://www.sohu.com/a/938607793_100226214","https://www.sohu.com/a/938607793_100226214")</f>
        <v>https://www.sohu.com/a/938607793_100226214</v>
      </c>
      <c r="I516" s="3" t="s">
        <v>786</v>
      </c>
      <c r="J516" t="s">
        <v>16</v>
      </c>
    </row>
    <row r="517" ht="23" customHeight="1" spans="1:10">
      <c r="A517" s="2">
        <v>516</v>
      </c>
      <c r="B517" s="3" t="s">
        <v>784</v>
      </c>
      <c r="C517" s="2" t="s">
        <v>788</v>
      </c>
      <c r="D517" s="2" t="s">
        <v>200</v>
      </c>
      <c r="E517" s="2" t="s">
        <v>200</v>
      </c>
      <c r="F517" s="2" t="s">
        <v>13</v>
      </c>
      <c r="G517" s="2" t="s">
        <v>201</v>
      </c>
      <c r="H517" s="4" t="str">
        <f>HYPERLINK("https://news.eol.cn/zjyw/202509/t20250925_2691963.shtml","https://news.eol.cn/zjyw/202509/t20250925_2691963.shtml")</f>
        <v>https://news.eol.cn/zjyw/202509/t20250925_2691963.shtml</v>
      </c>
      <c r="I517" s="3" t="s">
        <v>789</v>
      </c>
      <c r="J517" t="s">
        <v>16</v>
      </c>
    </row>
    <row r="518" ht="23" customHeight="1" spans="1:10">
      <c r="A518" s="2">
        <v>517</v>
      </c>
      <c r="B518" s="3" t="s">
        <v>784</v>
      </c>
      <c r="C518" s="2" t="s">
        <v>788</v>
      </c>
      <c r="D518" s="2" t="s">
        <v>200</v>
      </c>
      <c r="E518" s="2" t="s">
        <v>200</v>
      </c>
      <c r="F518" s="2" t="s">
        <v>13</v>
      </c>
      <c r="G518" s="2" t="s">
        <v>201</v>
      </c>
      <c r="H518" s="4" t="str">
        <f>HYPERLINK("https://www.eol.cn/news/zjyw/202509/t20250925_2691963.shtml","https://www.eol.cn/news/zjyw/202509/t20250925_2691963.shtml")</f>
        <v>https://www.eol.cn/news/zjyw/202509/t20250925_2691963.shtml</v>
      </c>
      <c r="I518" s="3" t="s">
        <v>789</v>
      </c>
      <c r="J518" t="s">
        <v>16</v>
      </c>
    </row>
    <row r="519" ht="23" customHeight="1" spans="1:10">
      <c r="A519" s="2">
        <v>518</v>
      </c>
      <c r="B519" s="3" t="s">
        <v>790</v>
      </c>
      <c r="C519" s="2" t="s">
        <v>791</v>
      </c>
      <c r="D519" s="2" t="s">
        <v>353</v>
      </c>
      <c r="E519" s="2" t="s">
        <v>328</v>
      </c>
      <c r="F519" s="2" t="s">
        <v>354</v>
      </c>
      <c r="G519" s="2" t="s">
        <v>21</v>
      </c>
      <c r="H519" s="4" t="str">
        <f>HYPERLINK("https://weibo.com/2539961154/Q6bbe9xJr","https://weibo.com/2539961154/Q6bbe9xJr")</f>
        <v>https://weibo.com/2539961154/Q6bbe9xJr</v>
      </c>
      <c r="I519" s="3" t="s">
        <v>792</v>
      </c>
      <c r="J519" t="s">
        <v>16</v>
      </c>
    </row>
    <row r="520" ht="23" customHeight="1" spans="1:10">
      <c r="A520" s="2">
        <v>519</v>
      </c>
      <c r="B520" s="3" t="s">
        <v>793</v>
      </c>
      <c r="C520" s="2" t="s">
        <v>794</v>
      </c>
      <c r="D520" s="2" t="s">
        <v>41</v>
      </c>
      <c r="E520" s="2" t="s">
        <v>159</v>
      </c>
      <c r="F520" s="2" t="s">
        <v>13</v>
      </c>
      <c r="G520" s="2" t="s">
        <v>21</v>
      </c>
      <c r="H520" s="4" t="str">
        <f>HYPERLINK("https://mbd.baidu.com/newspage/data/landingshare?nid=news_9128025386305677083","https://mbd.baidu.com/newspage/data/landingshare?nid=news_9128025386305677083")</f>
        <v>https://mbd.baidu.com/newspage/data/landingshare?nid=news_9128025386305677083</v>
      </c>
      <c r="I520" s="3" t="s">
        <v>795</v>
      </c>
      <c r="J520" t="s">
        <v>16</v>
      </c>
    </row>
    <row r="521" ht="23" customHeight="1" spans="1:10">
      <c r="A521" s="2">
        <v>520</v>
      </c>
      <c r="B521" s="3" t="s">
        <v>793</v>
      </c>
      <c r="C521" s="2" t="s">
        <v>794</v>
      </c>
      <c r="D521" s="2" t="s">
        <v>40</v>
      </c>
      <c r="E521" s="2" t="s">
        <v>159</v>
      </c>
      <c r="F521" s="2" t="s">
        <v>13</v>
      </c>
      <c r="G521" s="2" t="s">
        <v>21</v>
      </c>
      <c r="H521" s="4" t="str">
        <f>HYPERLINK("https://www.yoojia.com/article/9128025386305677083.html","https://www.yoojia.com/article/9128025386305677083.html")</f>
        <v>https://www.yoojia.com/article/9128025386305677083.html</v>
      </c>
      <c r="I521" s="3" t="s">
        <v>795</v>
      </c>
      <c r="J521" t="s">
        <v>16</v>
      </c>
    </row>
    <row r="522" ht="23" customHeight="1" spans="1:10">
      <c r="A522" s="2">
        <v>521</v>
      </c>
      <c r="B522" s="3" t="s">
        <v>796</v>
      </c>
      <c r="C522" s="2" t="s">
        <v>797</v>
      </c>
      <c r="D522" s="2" t="s">
        <v>34</v>
      </c>
      <c r="E522" s="2" t="s">
        <v>159</v>
      </c>
      <c r="F522" s="2" t="s">
        <v>13</v>
      </c>
      <c r="G522" s="2" t="s">
        <v>21</v>
      </c>
      <c r="H522" s="4" t="str">
        <f>HYPERLINK("https://kandianshare.html5.qq.com/v2/news/454048367875391810","https://kandianshare.html5.qq.com/v2/news/454048367875391810")</f>
        <v>https://kandianshare.html5.qq.com/v2/news/454048367875391810</v>
      </c>
      <c r="I522" s="3" t="s">
        <v>798</v>
      </c>
      <c r="J522" t="s">
        <v>16</v>
      </c>
    </row>
    <row r="523" ht="23" customHeight="1" spans="1:10">
      <c r="A523" s="2">
        <v>522</v>
      </c>
      <c r="B523" s="3" t="s">
        <v>796</v>
      </c>
      <c r="C523" s="2" t="s">
        <v>797</v>
      </c>
      <c r="D523" s="2" t="s">
        <v>35</v>
      </c>
      <c r="E523" s="2" t="s">
        <v>159</v>
      </c>
      <c r="F523" s="2" t="s">
        <v>13</v>
      </c>
      <c r="G523" s="2" t="s">
        <v>21</v>
      </c>
      <c r="H523" s="4" t="str">
        <f>HYPERLINK("https://new.qq.com/rain/a/20250925A02P7000","https://new.qq.com/rain/a/20250925A02P7000")</f>
        <v>https://new.qq.com/rain/a/20250925A02P7000</v>
      </c>
      <c r="I523" s="3" t="s">
        <v>798</v>
      </c>
      <c r="J523" t="s">
        <v>16</v>
      </c>
    </row>
    <row r="524" ht="23" customHeight="1" spans="1:10">
      <c r="A524" s="2">
        <v>523</v>
      </c>
      <c r="B524" s="3" t="s">
        <v>799</v>
      </c>
      <c r="C524" s="2" t="s">
        <v>800</v>
      </c>
      <c r="D524" s="2" t="s">
        <v>262</v>
      </c>
      <c r="E524" s="2" t="s">
        <v>262</v>
      </c>
      <c r="F524" s="2" t="s">
        <v>13</v>
      </c>
      <c r="G524" s="2" t="s">
        <v>21</v>
      </c>
      <c r="H524" s="4" t="str">
        <f>HYPERLINK("https://www.shanghai.gov.cn/nw31406/20250925/1267e9cd50514b9f95cf2258cbd8efc9.html","https://www.shanghai.gov.cn/nw31406/20250925/1267e9cd50514b9f95cf2258cbd8efc9.html")</f>
        <v>https://www.shanghai.gov.cn/nw31406/20250925/1267e9cd50514b9f95cf2258cbd8efc9.html</v>
      </c>
      <c r="I524" s="3" t="s">
        <v>801</v>
      </c>
      <c r="J524" t="s">
        <v>16</v>
      </c>
    </row>
    <row r="525" ht="23" customHeight="1" spans="1:10">
      <c r="A525" s="2">
        <v>524</v>
      </c>
      <c r="B525" s="3" t="s">
        <v>802</v>
      </c>
      <c r="C525" s="2" t="s">
        <v>803</v>
      </c>
      <c r="D525" s="2" t="s">
        <v>327</v>
      </c>
      <c r="E525" s="2" t="s">
        <v>328</v>
      </c>
      <c r="F525" s="2" t="s">
        <v>37</v>
      </c>
      <c r="G525" s="2" t="s">
        <v>21</v>
      </c>
      <c r="H525" s="4" t="str">
        <f>HYPERLINK("https://static.dingxinwen.com/dd-sharepage/detail/index.html?id=145BD3E446B84E75#/","https://static.dingxinwen.com/dd-sharepage/detail/index.html?id=145BD3E446B84E75#/")</f>
        <v>https://static.dingxinwen.com/dd-sharepage/detail/index.html?id=145BD3E446B84E75#/</v>
      </c>
      <c r="I525" s="3" t="s">
        <v>804</v>
      </c>
      <c r="J525" t="s">
        <v>16</v>
      </c>
    </row>
    <row r="526" ht="23" customHeight="1" spans="1:10">
      <c r="A526" s="2">
        <v>525</v>
      </c>
      <c r="B526" s="3" t="s">
        <v>796</v>
      </c>
      <c r="C526" s="2" t="s">
        <v>805</v>
      </c>
      <c r="D526" s="2" t="s">
        <v>159</v>
      </c>
      <c r="E526" s="2" t="s">
        <v>164</v>
      </c>
      <c r="F526" s="2" t="s">
        <v>13</v>
      </c>
      <c r="G526" s="2" t="s">
        <v>21</v>
      </c>
      <c r="H526" s="4" t="str">
        <f>HYPERLINK("https://static.zhoudaosh.com/files/cnews/2025/20250925/E19204FF45774B4588E4EAD2159B292D58B56F91FDA3B409E5780FF4FA355DC6/3.html","https://static.zhoudaosh.com/files/cnews/2025/20250925/E19204FF45774B4588E4EAD2159B292D58B56F91FDA3B409E5780FF4FA355DC6/3.html")</f>
        <v>https://static.zhoudaosh.com/files/cnews/2025/20250925/E19204FF45774B4588E4EAD2159B292D58B56F91FDA3B409E5780FF4FA355DC6/3.html</v>
      </c>
      <c r="I526" s="3" t="s">
        <v>798</v>
      </c>
      <c r="J526" t="s">
        <v>16</v>
      </c>
    </row>
    <row r="527" ht="23" customHeight="1" spans="1:10">
      <c r="A527" s="2">
        <v>526</v>
      </c>
      <c r="B527" s="3" t="s">
        <v>802</v>
      </c>
      <c r="C527" s="2" t="s">
        <v>806</v>
      </c>
      <c r="D527" s="2" t="s">
        <v>91</v>
      </c>
      <c r="E527" s="2" t="s">
        <v>328</v>
      </c>
      <c r="F527" s="2" t="s">
        <v>91</v>
      </c>
      <c r="G527" s="2" t="s">
        <v>21</v>
      </c>
      <c r="H527" s="4" t="str">
        <f>HYPERLINK("http://mp.weixin.qq.com/s?__biz=MjM5NTA5NzYyMA==&amp;mid=2655359170&amp;idx=2&amp;sn=fc20dc67f0b30e6ad16c87a029571c01","http://mp.weixin.qq.com/s?__biz=MjM5NTA5NzYyMA==&amp;mid=2655359170&amp;idx=2&amp;sn=fc20dc67f0b30e6ad16c87a029571c01")</f>
        <v>http://mp.weixin.qq.com/s?__biz=MjM5NTA5NzYyMA==&amp;mid=2655359170&amp;idx=2&amp;sn=fc20dc67f0b30e6ad16c87a029571c01</v>
      </c>
      <c r="I527" s="3" t="s">
        <v>804</v>
      </c>
      <c r="J527" t="s">
        <v>16</v>
      </c>
    </row>
    <row r="528" ht="23" customHeight="1" spans="1:10">
      <c r="A528" s="2">
        <v>527</v>
      </c>
      <c r="B528" s="3" t="s">
        <v>807</v>
      </c>
      <c r="C528" s="2" t="s">
        <v>808</v>
      </c>
      <c r="D528" s="2" t="s">
        <v>440</v>
      </c>
      <c r="E528" s="2" t="s">
        <v>402</v>
      </c>
      <c r="F528" s="2" t="s">
        <v>13</v>
      </c>
      <c r="G528" s="2" t="s">
        <v>26</v>
      </c>
      <c r="H528" s="4" t="str">
        <f>HYPERLINK("https://edu.online.sh.cn/education/gb/content/2025-09/25/content_10383383.htm","https://edu.online.sh.cn/education/gb/content/2025-09/25/content_10383383.htm")</f>
        <v>https://edu.online.sh.cn/education/gb/content/2025-09/25/content_10383383.htm</v>
      </c>
      <c r="I528" s="3" t="s">
        <v>809</v>
      </c>
      <c r="J528" t="s">
        <v>16</v>
      </c>
    </row>
    <row r="529" ht="23" customHeight="1" spans="1:10">
      <c r="A529" s="2">
        <v>528</v>
      </c>
      <c r="B529" s="3" t="s">
        <v>810</v>
      </c>
      <c r="C529" s="2" t="s">
        <v>811</v>
      </c>
      <c r="D529" s="2" t="s">
        <v>19</v>
      </c>
      <c r="E529" s="2" t="s">
        <v>20</v>
      </c>
      <c r="F529" s="2" t="s">
        <v>37</v>
      </c>
      <c r="G529" s="2" t="s">
        <v>21</v>
      </c>
      <c r="H529" s="4" t="str">
        <f>HYPERLINK("https://c.m.163.com/news/a/KA8LK7IU055040N3.html","https://c.m.163.com/news/a/KA8LK7IU055040N3.html")</f>
        <v>https://c.m.163.com/news/a/KA8LK7IU055040N3.html</v>
      </c>
      <c r="I529" s="3" t="s">
        <v>812</v>
      </c>
      <c r="J529" t="s">
        <v>16</v>
      </c>
    </row>
    <row r="530" ht="23" customHeight="1" spans="1:10">
      <c r="A530" s="2">
        <v>529</v>
      </c>
      <c r="B530" s="3" t="s">
        <v>810</v>
      </c>
      <c r="C530" s="2" t="s">
        <v>813</v>
      </c>
      <c r="D530" s="2" t="s">
        <v>11</v>
      </c>
      <c r="E530" s="2" t="s">
        <v>20</v>
      </c>
      <c r="F530" s="2" t="s">
        <v>13</v>
      </c>
      <c r="G530" s="2" t="s">
        <v>21</v>
      </c>
      <c r="H530" s="4" t="str">
        <f>HYPERLINK("https://www.toutiao.com/article/7553650489733300775/","https://www.toutiao.com/article/7553650489733300775/")</f>
        <v>https://www.toutiao.com/article/7553650489733300775/</v>
      </c>
      <c r="I530" s="3" t="s">
        <v>812</v>
      </c>
      <c r="J530" t="s">
        <v>16</v>
      </c>
    </row>
    <row r="531" ht="23" customHeight="1" spans="1:10">
      <c r="A531" s="2">
        <v>530</v>
      </c>
      <c r="B531" s="3" t="s">
        <v>814</v>
      </c>
      <c r="C531" s="2" t="s">
        <v>815</v>
      </c>
      <c r="D531" s="2" t="s">
        <v>34</v>
      </c>
      <c r="E531" s="2" t="s">
        <v>20</v>
      </c>
      <c r="F531" s="2" t="s">
        <v>13</v>
      </c>
      <c r="G531" s="2" t="s">
        <v>21</v>
      </c>
      <c r="H531" s="4" t="str">
        <f>HYPERLINK("https://kandianshare.html5.qq.com/v2/news/3768697594422786370","https://kandianshare.html5.qq.com/v2/news/3768697594422786370")</f>
        <v>https://kandianshare.html5.qq.com/v2/news/3768697594422786370</v>
      </c>
      <c r="I531" s="3" t="s">
        <v>812</v>
      </c>
      <c r="J531" t="s">
        <v>16</v>
      </c>
    </row>
    <row r="532" ht="23" customHeight="1" spans="1:10">
      <c r="A532" s="2">
        <v>531</v>
      </c>
      <c r="B532" s="3" t="s">
        <v>814</v>
      </c>
      <c r="C532" s="2" t="s">
        <v>815</v>
      </c>
      <c r="D532" s="2" t="s">
        <v>35</v>
      </c>
      <c r="E532" s="2" t="s">
        <v>20</v>
      </c>
      <c r="F532" s="2" t="s">
        <v>13</v>
      </c>
      <c r="G532" s="2" t="s">
        <v>21</v>
      </c>
      <c r="H532" s="4" t="str">
        <f>HYPERLINK("https://new.qq.com/rain/a/20250924A080DB00","https://new.qq.com/rain/a/20250924A080DB00")</f>
        <v>https://new.qq.com/rain/a/20250924A080DB00</v>
      </c>
      <c r="I532" s="3" t="s">
        <v>812</v>
      </c>
      <c r="J532" t="s">
        <v>16</v>
      </c>
    </row>
    <row r="533" ht="23" customHeight="1" spans="1:10">
      <c r="A533" s="2">
        <v>532</v>
      </c>
      <c r="B533" s="3" t="s">
        <v>814</v>
      </c>
      <c r="C533" s="2" t="s">
        <v>816</v>
      </c>
      <c r="D533" s="2" t="s">
        <v>41</v>
      </c>
      <c r="E533" s="2" t="s">
        <v>20</v>
      </c>
      <c r="F533" s="2" t="s">
        <v>13</v>
      </c>
      <c r="G533" s="2" t="s">
        <v>21</v>
      </c>
      <c r="H533" s="4" t="str">
        <f>HYPERLINK("https://mbd.baidu.com/newspage/data/landingshare?nid=news_10090212899575548961","https://mbd.baidu.com/newspage/data/landingshare?nid=news_10090212899575548961")</f>
        <v>https://mbd.baidu.com/newspage/data/landingshare?nid=news_10090212899575548961</v>
      </c>
      <c r="I533" s="3" t="s">
        <v>812</v>
      </c>
      <c r="J533" t="s">
        <v>16</v>
      </c>
    </row>
    <row r="534" ht="23" customHeight="1" spans="1:10">
      <c r="A534" s="2">
        <v>533</v>
      </c>
      <c r="B534" s="3" t="s">
        <v>814</v>
      </c>
      <c r="C534" s="2" t="s">
        <v>816</v>
      </c>
      <c r="D534" s="2" t="s">
        <v>40</v>
      </c>
      <c r="E534" s="2" t="s">
        <v>20</v>
      </c>
      <c r="F534" s="2" t="s">
        <v>13</v>
      </c>
      <c r="G534" s="2" t="s">
        <v>21</v>
      </c>
      <c r="H534" s="4" t="str">
        <f>HYPERLINK("https://www.yoojia.com/article/10090212899575548961.html","https://www.yoojia.com/article/10090212899575548961.html")</f>
        <v>https://www.yoojia.com/article/10090212899575548961.html</v>
      </c>
      <c r="I534" s="3" t="s">
        <v>812</v>
      </c>
      <c r="J534" t="s">
        <v>16</v>
      </c>
    </row>
    <row r="535" ht="23" customHeight="1" spans="1:10">
      <c r="A535" s="2">
        <v>534</v>
      </c>
      <c r="B535" s="3" t="s">
        <v>814</v>
      </c>
      <c r="C535" s="2" t="s">
        <v>817</v>
      </c>
      <c r="D535" s="2" t="s">
        <v>43</v>
      </c>
      <c r="E535" s="2" t="s">
        <v>402</v>
      </c>
      <c r="F535" s="2" t="s">
        <v>13</v>
      </c>
      <c r="G535" s="2" t="s">
        <v>21</v>
      </c>
      <c r="H535" s="4" t="str">
        <f>HYPERLINK("https://www.shobserver.com/staticsg/res/html/web/newsDetail.html?id=988910","https://www.shobserver.com/staticsg/res/html/web/newsDetail.html?id=988910")</f>
        <v>https://www.shobserver.com/staticsg/res/html/web/newsDetail.html?id=988910</v>
      </c>
      <c r="I535" s="3" t="s">
        <v>812</v>
      </c>
      <c r="J535" t="s">
        <v>16</v>
      </c>
    </row>
    <row r="536" ht="23" customHeight="1" spans="1:10">
      <c r="A536" s="2">
        <v>535</v>
      </c>
      <c r="B536" s="3" t="s">
        <v>814</v>
      </c>
      <c r="C536" s="2" t="s">
        <v>818</v>
      </c>
      <c r="D536" s="2" t="s">
        <v>43</v>
      </c>
      <c r="E536" s="2" t="s">
        <v>402</v>
      </c>
      <c r="F536" s="2" t="s">
        <v>13</v>
      </c>
      <c r="G536" s="2" t="s">
        <v>21</v>
      </c>
      <c r="H536" s="4" t="str">
        <f>HYPERLINK("https://www.jfdaily.com/staticsg/res/html/web/newsDetail.html?id=988910","https://www.jfdaily.com/staticsg/res/html/web/newsDetail.html?id=988910")</f>
        <v>https://www.jfdaily.com/staticsg/res/html/web/newsDetail.html?id=988910</v>
      </c>
      <c r="I536" s="3" t="s">
        <v>812</v>
      </c>
      <c r="J536" t="s">
        <v>16</v>
      </c>
    </row>
    <row r="537" ht="23" customHeight="1" spans="1:10">
      <c r="A537" s="2">
        <v>536</v>
      </c>
      <c r="B537" s="3" t="s">
        <v>814</v>
      </c>
      <c r="C537" s="2" t="s">
        <v>818</v>
      </c>
      <c r="D537" s="2" t="s">
        <v>43</v>
      </c>
      <c r="E537" s="2" t="s">
        <v>43</v>
      </c>
      <c r="F537" s="2" t="s">
        <v>37</v>
      </c>
      <c r="G537" s="2" t="s">
        <v>21</v>
      </c>
      <c r="H537" s="4" t="str">
        <f>HYPERLINK("https://export.shobserver.com/baijiahao/html/988910.html","https://export.shobserver.com/baijiahao/html/988910.html")</f>
        <v>https://export.shobserver.com/baijiahao/html/988910.html</v>
      </c>
      <c r="I537" s="3" t="s">
        <v>812</v>
      </c>
      <c r="J537" t="s">
        <v>16</v>
      </c>
    </row>
    <row r="538" ht="23" customHeight="1" spans="1:10">
      <c r="A538" s="2">
        <v>537</v>
      </c>
      <c r="B538" s="3" t="s">
        <v>819</v>
      </c>
      <c r="C538" s="2" t="s">
        <v>820</v>
      </c>
      <c r="D538" s="2" t="s">
        <v>19</v>
      </c>
      <c r="E538" s="2" t="s">
        <v>20</v>
      </c>
      <c r="F538" s="2" t="s">
        <v>37</v>
      </c>
      <c r="G538" s="2" t="s">
        <v>21</v>
      </c>
      <c r="H538" s="4" t="str">
        <f>HYPERLINK("https://c.m.163.com/news/a/K9VF5NR9055040N3.html","https://c.m.163.com/news/a/K9VF5NR9055040N3.html")</f>
        <v>https://c.m.163.com/news/a/K9VF5NR9055040N3.html</v>
      </c>
      <c r="I538" s="3" t="s">
        <v>821</v>
      </c>
      <c r="J538" t="s">
        <v>16</v>
      </c>
    </row>
    <row r="539" ht="23" customHeight="1" spans="1:10">
      <c r="A539" s="2">
        <v>538</v>
      </c>
      <c r="B539" s="3" t="s">
        <v>819</v>
      </c>
      <c r="C539" s="2" t="s">
        <v>822</v>
      </c>
      <c r="D539" s="2" t="s">
        <v>20</v>
      </c>
      <c r="E539" s="2" t="s">
        <v>823</v>
      </c>
      <c r="F539" s="2" t="s">
        <v>37</v>
      </c>
      <c r="G539" s="2" t="s">
        <v>21</v>
      </c>
      <c r="H539" s="4" t="str">
        <f>HYPERLINK("https://www.shobserver.com/staticsg/res/html/web/newsDetail.html?id=986288","https://www.shobserver.com/staticsg/res/html/web/newsDetail.html?id=986288")</f>
        <v>https://www.shobserver.com/staticsg/res/html/web/newsDetail.html?id=986288</v>
      </c>
      <c r="I539" s="3" t="s">
        <v>821</v>
      </c>
      <c r="J539" t="s">
        <v>16</v>
      </c>
    </row>
    <row r="540" ht="23" customHeight="1" spans="1:10">
      <c r="A540" s="2">
        <v>539</v>
      </c>
      <c r="B540" s="3" t="s">
        <v>819</v>
      </c>
      <c r="C540" s="2" t="s">
        <v>824</v>
      </c>
      <c r="D540" s="2" t="s">
        <v>11</v>
      </c>
      <c r="E540" s="2" t="s">
        <v>32</v>
      </c>
      <c r="F540" s="2" t="s">
        <v>13</v>
      </c>
      <c r="G540" s="2" t="s">
        <v>21</v>
      </c>
      <c r="H540" s="4" t="str">
        <f>HYPERLINK("https://www.toutiao.com/article/7552324405821587983/","https://www.toutiao.com/article/7552324405821587983/")</f>
        <v>https://www.toutiao.com/article/7552324405821587983/</v>
      </c>
      <c r="I540" s="3" t="s">
        <v>825</v>
      </c>
      <c r="J540" t="s">
        <v>16</v>
      </c>
    </row>
    <row r="541" ht="23" customHeight="1" spans="1:10">
      <c r="A541" s="2">
        <v>540</v>
      </c>
      <c r="B541" s="3" t="s">
        <v>819</v>
      </c>
      <c r="C541" s="2" t="s">
        <v>826</v>
      </c>
      <c r="D541" s="2" t="s">
        <v>35</v>
      </c>
      <c r="E541" s="2" t="s">
        <v>32</v>
      </c>
      <c r="F541" s="2" t="s">
        <v>13</v>
      </c>
      <c r="G541" s="2" t="s">
        <v>21</v>
      </c>
      <c r="H541" s="4" t="str">
        <f>HYPERLINK("https://new.qq.com/rain/a/20250921A01F9300","https://new.qq.com/rain/a/20250921A01F9300")</f>
        <v>https://new.qq.com/rain/a/20250921A01F9300</v>
      </c>
      <c r="I541" s="3" t="s">
        <v>821</v>
      </c>
      <c r="J541" t="s">
        <v>16</v>
      </c>
    </row>
    <row r="542" ht="23" customHeight="1" spans="1:10">
      <c r="A542" s="2">
        <v>541</v>
      </c>
      <c r="B542" s="3" t="s">
        <v>819</v>
      </c>
      <c r="C542" s="2" t="s">
        <v>826</v>
      </c>
      <c r="D542" s="2" t="s">
        <v>34</v>
      </c>
      <c r="E542" s="2" t="s">
        <v>32</v>
      </c>
      <c r="F542" s="2" t="s">
        <v>13</v>
      </c>
      <c r="G542" s="2" t="s">
        <v>21</v>
      </c>
      <c r="H542" s="4" t="str">
        <f>HYPERLINK("https://kandianshare.html5.qq.com/v2/news/1012493975298795842","https://kandianshare.html5.qq.com/v2/news/1012493975298795842")</f>
        <v>https://kandianshare.html5.qq.com/v2/news/1012493975298795842</v>
      </c>
      <c r="I542" s="3" t="s">
        <v>821</v>
      </c>
      <c r="J542" t="s">
        <v>16</v>
      </c>
    </row>
    <row r="543" ht="23" customHeight="1" spans="1:10">
      <c r="A543" s="2">
        <v>542</v>
      </c>
      <c r="B543" s="3" t="s">
        <v>819</v>
      </c>
      <c r="C543" s="2" t="s">
        <v>827</v>
      </c>
      <c r="D543" s="2" t="s">
        <v>29</v>
      </c>
      <c r="E543" s="2" t="s">
        <v>30</v>
      </c>
      <c r="F543" s="2" t="s">
        <v>13</v>
      </c>
      <c r="G543" s="2" t="s">
        <v>26</v>
      </c>
      <c r="H543" s="4" t="str">
        <f>HYPERLINK("https://finance.sina.cn/2025-09-21/detail-infrffqq7693836.d.html","https://finance.sina.cn/2025-09-21/detail-infrffqq7693836.d.html")</f>
        <v>https://finance.sina.cn/2025-09-21/detail-infrffqq7693836.d.html</v>
      </c>
      <c r="I543" s="3" t="s">
        <v>821</v>
      </c>
      <c r="J543" t="s">
        <v>16</v>
      </c>
    </row>
    <row r="544" ht="23" customHeight="1" spans="1:10">
      <c r="A544" s="2">
        <v>543</v>
      </c>
      <c r="B544" s="3" t="s">
        <v>819</v>
      </c>
      <c r="C544" s="2" t="s">
        <v>827</v>
      </c>
      <c r="D544" s="2" t="s">
        <v>11</v>
      </c>
      <c r="E544" s="2" t="s">
        <v>20</v>
      </c>
      <c r="F544" s="2" t="s">
        <v>13</v>
      </c>
      <c r="G544" s="2" t="s">
        <v>21</v>
      </c>
      <c r="H544" s="4" t="str">
        <f>HYPERLINK("https://www.toutiao.com/article/7552323887187362346/","https://www.toutiao.com/article/7552323887187362346/")</f>
        <v>https://www.toutiao.com/article/7552323887187362346/</v>
      </c>
      <c r="I544" s="3" t="s">
        <v>825</v>
      </c>
      <c r="J544" t="s">
        <v>16</v>
      </c>
    </row>
    <row r="545" ht="23" customHeight="1" spans="1:10">
      <c r="A545" s="2">
        <v>544</v>
      </c>
      <c r="B545" s="3" t="s">
        <v>819</v>
      </c>
      <c r="C545" s="2" t="s">
        <v>828</v>
      </c>
      <c r="D545" s="2" t="s">
        <v>107</v>
      </c>
      <c r="E545" s="2" t="s">
        <v>829</v>
      </c>
      <c r="F545" s="2" t="s">
        <v>13</v>
      </c>
      <c r="G545" s="2" t="s">
        <v>21</v>
      </c>
      <c r="H545" s="4" t="str">
        <f>HYPERLINK("https://k.sina.cn/article_1737737970_6793c6f202001ql5w.html","https://k.sina.cn/article_1737737970_6793c6f202001ql5w.html")</f>
        <v>https://k.sina.cn/article_1737737970_6793c6f202001ql5w.html</v>
      </c>
      <c r="I545" s="3" t="s">
        <v>821</v>
      </c>
      <c r="J545" t="s">
        <v>16</v>
      </c>
    </row>
    <row r="546" ht="23" customHeight="1" spans="1:10">
      <c r="A546" s="2">
        <v>545</v>
      </c>
      <c r="B546" s="3" t="s">
        <v>819</v>
      </c>
      <c r="C546" s="2" t="s">
        <v>828</v>
      </c>
      <c r="D546" s="2" t="s">
        <v>43</v>
      </c>
      <c r="E546" s="2" t="s">
        <v>823</v>
      </c>
      <c r="F546" s="2" t="s">
        <v>13</v>
      </c>
      <c r="G546" s="2" t="s">
        <v>21</v>
      </c>
      <c r="H546" s="4" t="str">
        <f>HYPERLINK("https://www.jfdaily.com.cn/staticsg/res/html/web/newsDetail.html?id=986288","https://www.jfdaily.com.cn/staticsg/res/html/web/newsDetail.html?id=986288")</f>
        <v>https://www.jfdaily.com.cn/staticsg/res/html/web/newsDetail.html?id=986288</v>
      </c>
      <c r="I546" s="3" t="s">
        <v>821</v>
      </c>
      <c r="J546" t="s">
        <v>16</v>
      </c>
    </row>
    <row r="547" ht="23" customHeight="1" spans="1:10">
      <c r="A547" s="2">
        <v>546</v>
      </c>
      <c r="B547" s="3" t="s">
        <v>819</v>
      </c>
      <c r="C547" s="2" t="s">
        <v>830</v>
      </c>
      <c r="D547" s="2" t="s">
        <v>43</v>
      </c>
      <c r="E547" s="2" t="s">
        <v>823</v>
      </c>
      <c r="F547" s="2" t="s">
        <v>13</v>
      </c>
      <c r="G547" s="2" t="s">
        <v>21</v>
      </c>
      <c r="H547" s="4" t="str">
        <f>HYPERLINK("https://www.jfdaily.com/staticsg/res/html/web/newsDetail.html?id=986288","https://www.jfdaily.com/staticsg/res/html/web/newsDetail.html?id=986288")</f>
        <v>https://www.jfdaily.com/staticsg/res/html/web/newsDetail.html?id=986288</v>
      </c>
      <c r="I547" s="3" t="s">
        <v>821</v>
      </c>
      <c r="J547" t="s">
        <v>16</v>
      </c>
    </row>
    <row r="548" ht="23" customHeight="1" spans="1:10">
      <c r="A548" s="2">
        <v>547</v>
      </c>
      <c r="B548" s="3" t="s">
        <v>819</v>
      </c>
      <c r="C548" s="2" t="s">
        <v>830</v>
      </c>
      <c r="D548" s="2" t="s">
        <v>46</v>
      </c>
      <c r="E548" s="2" t="s">
        <v>32</v>
      </c>
      <c r="F548" s="2" t="s">
        <v>37</v>
      </c>
      <c r="G548" s="2" t="s">
        <v>21</v>
      </c>
      <c r="H548" s="4" t="str">
        <f>HYPERLINK("https://3g.k.sohu.com/t/n930779292?serialId=614b795e67df5745e642a1ff49f539f0&amp;showType=930779292","https://3g.k.sohu.com/t/n930779292?serialId=614b795e67df5745e642a1ff49f539f0&amp;showType=930779292")</f>
        <v>https://3g.k.sohu.com/t/n930779292?serialId=614b795e67df5745e642a1ff49f539f0&amp;showType=930779292</v>
      </c>
      <c r="I548" s="3" t="s">
        <v>831</v>
      </c>
      <c r="J548" t="s">
        <v>16</v>
      </c>
    </row>
    <row r="549" ht="23" customHeight="1" spans="1:10">
      <c r="A549" s="2">
        <v>548</v>
      </c>
      <c r="B549" s="3" t="s">
        <v>819</v>
      </c>
      <c r="C549" s="2" t="s">
        <v>830</v>
      </c>
      <c r="D549" s="2" t="s">
        <v>46</v>
      </c>
      <c r="E549" s="2" t="s">
        <v>32</v>
      </c>
      <c r="F549" s="2" t="s">
        <v>37</v>
      </c>
      <c r="G549" s="2" t="s">
        <v>21</v>
      </c>
      <c r="H549" s="4" t="str">
        <f>HYPERLINK("https://3g.k.sohu.com/t/n930779227?serialId=c79c60ab65cea58eb1bc8b539590bd64&amp;showType=930779227","https://3g.k.sohu.com/t/n930779227?serialId=c79c60ab65cea58eb1bc8b539590bd64&amp;showType=930779227")</f>
        <v>https://3g.k.sohu.com/t/n930779227?serialId=c79c60ab65cea58eb1bc8b539590bd64&amp;showType=930779227</v>
      </c>
      <c r="I549" s="3" t="s">
        <v>832</v>
      </c>
      <c r="J549" t="s">
        <v>16</v>
      </c>
    </row>
    <row r="550" ht="23" customHeight="1" spans="1:10">
      <c r="A550" s="2">
        <v>549</v>
      </c>
      <c r="B550" s="3" t="s">
        <v>819</v>
      </c>
      <c r="C550" s="2" t="s">
        <v>830</v>
      </c>
      <c r="D550" s="2" t="s">
        <v>41</v>
      </c>
      <c r="E550" s="2" t="s">
        <v>32</v>
      </c>
      <c r="F550" s="2" t="s">
        <v>13</v>
      </c>
      <c r="G550" s="2" t="s">
        <v>21</v>
      </c>
      <c r="H550" s="4" t="str">
        <f>HYPERLINK("https://mbd.baidu.com/newspage/data/landingshare?nid=news_10314727758012192172","https://mbd.baidu.com/newspage/data/landingshare?nid=news_10314727758012192172")</f>
        <v>https://mbd.baidu.com/newspage/data/landingshare?nid=news_10314727758012192172</v>
      </c>
      <c r="I550" s="3" t="s">
        <v>825</v>
      </c>
      <c r="J550" t="s">
        <v>16</v>
      </c>
    </row>
    <row r="551" ht="23" customHeight="1" spans="1:10">
      <c r="A551" s="2">
        <v>550</v>
      </c>
      <c r="B551" s="3" t="s">
        <v>819</v>
      </c>
      <c r="C551" s="2" t="s">
        <v>830</v>
      </c>
      <c r="D551" s="2" t="s">
        <v>46</v>
      </c>
      <c r="E551" s="2" t="s">
        <v>32</v>
      </c>
      <c r="F551" s="2" t="s">
        <v>13</v>
      </c>
      <c r="G551" s="2" t="s">
        <v>21</v>
      </c>
      <c r="H551" s="4" t="str">
        <f>HYPERLINK("https://www.sohu.com/a/937031604_121286085","https://www.sohu.com/a/937031604_121286085")</f>
        <v>https://www.sohu.com/a/937031604_121286085</v>
      </c>
      <c r="I551" s="3" t="s">
        <v>821</v>
      </c>
      <c r="J551" t="s">
        <v>16</v>
      </c>
    </row>
    <row r="552" ht="23" customHeight="1" spans="1:10">
      <c r="A552" s="2">
        <v>551</v>
      </c>
      <c r="B552" s="3" t="s">
        <v>819</v>
      </c>
      <c r="C552" s="2" t="s">
        <v>830</v>
      </c>
      <c r="D552" s="2" t="s">
        <v>40</v>
      </c>
      <c r="E552" s="2" t="s">
        <v>32</v>
      </c>
      <c r="F552" s="2" t="s">
        <v>13</v>
      </c>
      <c r="G552" s="2" t="s">
        <v>21</v>
      </c>
      <c r="H552" s="4" t="str">
        <f>HYPERLINK("https://www.yoojia.com/article/10314727758012192172.html","https://www.yoojia.com/article/10314727758012192172.html")</f>
        <v>https://www.yoojia.com/article/10314727758012192172.html</v>
      </c>
      <c r="I552" s="3" t="s">
        <v>825</v>
      </c>
      <c r="J552" t="s">
        <v>16</v>
      </c>
    </row>
    <row r="553" ht="23" customHeight="1" spans="1:10">
      <c r="A553" s="2">
        <v>552</v>
      </c>
      <c r="B553" s="3" t="s">
        <v>819</v>
      </c>
      <c r="C553" s="2" t="s">
        <v>830</v>
      </c>
      <c r="D553" s="2" t="s">
        <v>41</v>
      </c>
      <c r="E553" s="2" t="s">
        <v>20</v>
      </c>
      <c r="F553" s="2" t="s">
        <v>13</v>
      </c>
      <c r="G553" s="2" t="s">
        <v>21</v>
      </c>
      <c r="H553" s="4" t="str">
        <f>HYPERLINK("https://mbd.baidu.com/newspage/data/landingshare?nid=news_9766178743871316691","https://mbd.baidu.com/newspage/data/landingshare?nid=news_9766178743871316691")</f>
        <v>https://mbd.baidu.com/newspage/data/landingshare?nid=news_9766178743871316691</v>
      </c>
      <c r="I553" s="3" t="s">
        <v>825</v>
      </c>
      <c r="J553" t="s">
        <v>16</v>
      </c>
    </row>
    <row r="554" ht="23" customHeight="1" spans="1:10">
      <c r="A554" s="2">
        <v>553</v>
      </c>
      <c r="B554" s="3" t="s">
        <v>819</v>
      </c>
      <c r="C554" s="2" t="s">
        <v>830</v>
      </c>
      <c r="D554" s="2" t="s">
        <v>40</v>
      </c>
      <c r="E554" s="2" t="s">
        <v>20</v>
      </c>
      <c r="F554" s="2" t="s">
        <v>13</v>
      </c>
      <c r="G554" s="2" t="s">
        <v>21</v>
      </c>
      <c r="H554" s="4" t="str">
        <f>HYPERLINK("https://www.yoojia.com/article/9766178743871316691.html","https://www.yoojia.com/article/9766178743871316691.html")</f>
        <v>https://www.yoojia.com/article/9766178743871316691.html</v>
      </c>
      <c r="I554" s="3" t="s">
        <v>825</v>
      </c>
      <c r="J554" t="s">
        <v>16</v>
      </c>
    </row>
    <row r="555" ht="23" customHeight="1" spans="1:10">
      <c r="A555" s="2">
        <v>554</v>
      </c>
      <c r="B555" s="3" t="s">
        <v>833</v>
      </c>
      <c r="C555" s="2" t="s">
        <v>834</v>
      </c>
      <c r="D555" s="2" t="s">
        <v>11</v>
      </c>
      <c r="E555" s="2" t="s">
        <v>126</v>
      </c>
      <c r="F555" s="2" t="s">
        <v>13</v>
      </c>
      <c r="G555" s="2" t="s">
        <v>21</v>
      </c>
      <c r="H555" s="4" t="str">
        <f>HYPERLINK("https://www.toutiao.com/article/7552148683521933874/","https://www.toutiao.com/article/7552148683521933874/")</f>
        <v>https://www.toutiao.com/article/7552148683521933874/</v>
      </c>
      <c r="I555" s="3" t="s">
        <v>835</v>
      </c>
      <c r="J555" t="s">
        <v>16</v>
      </c>
    </row>
    <row r="556" ht="23" customHeight="1" spans="1:10">
      <c r="A556" s="2">
        <v>555</v>
      </c>
      <c r="B556" s="3" t="s">
        <v>833</v>
      </c>
      <c r="C556" s="2" t="s">
        <v>836</v>
      </c>
      <c r="D556" s="2" t="s">
        <v>40</v>
      </c>
      <c r="E556" s="2" t="s">
        <v>126</v>
      </c>
      <c r="F556" s="2" t="s">
        <v>13</v>
      </c>
      <c r="G556" s="2" t="s">
        <v>21</v>
      </c>
      <c r="H556" s="4" t="str">
        <f>HYPERLINK("https://www.yoojia.com/article/9590009029494740251.html","https://www.yoojia.com/article/9590009029494740251.html")</f>
        <v>https://www.yoojia.com/article/9590009029494740251.html</v>
      </c>
      <c r="I556" s="3" t="s">
        <v>835</v>
      </c>
      <c r="J556" t="s">
        <v>16</v>
      </c>
    </row>
    <row r="557" ht="23" customHeight="1" spans="1:10">
      <c r="A557" s="2">
        <v>556</v>
      </c>
      <c r="B557" s="3" t="s">
        <v>833</v>
      </c>
      <c r="C557" s="2" t="s">
        <v>836</v>
      </c>
      <c r="D557" s="2" t="s">
        <v>41</v>
      </c>
      <c r="E557" s="2" t="s">
        <v>126</v>
      </c>
      <c r="F557" s="2" t="s">
        <v>13</v>
      </c>
      <c r="G557" s="2" t="s">
        <v>21</v>
      </c>
      <c r="H557" s="4" t="str">
        <f>HYPERLINK("https://mbd.baidu.com/newspage/data/landingshare?nid=news_9590009029494740251","https://mbd.baidu.com/newspage/data/landingshare?nid=news_9590009029494740251")</f>
        <v>https://mbd.baidu.com/newspage/data/landingshare?nid=news_9590009029494740251</v>
      </c>
      <c r="I557" s="3" t="s">
        <v>835</v>
      </c>
      <c r="J557" t="s">
        <v>16</v>
      </c>
    </row>
    <row r="558" ht="23" customHeight="1" spans="1:10">
      <c r="A558" s="2">
        <v>557</v>
      </c>
      <c r="B558" s="3" t="s">
        <v>837</v>
      </c>
      <c r="C558" s="2" t="s">
        <v>838</v>
      </c>
      <c r="D558" s="2" t="s">
        <v>19</v>
      </c>
      <c r="E558" s="2" t="s">
        <v>81</v>
      </c>
      <c r="F558" s="2" t="s">
        <v>37</v>
      </c>
      <c r="G558" s="2" t="s">
        <v>21</v>
      </c>
      <c r="H558" s="4" t="str">
        <f>HYPERLINK("https://c.m.163.com/news/a/K9U0T10E0514R9P4.html","https://c.m.163.com/news/a/K9U0T10E0514R9P4.html")</f>
        <v>https://c.m.163.com/news/a/K9U0T10E0514R9P4.html</v>
      </c>
      <c r="I558" s="3" t="s">
        <v>839</v>
      </c>
      <c r="J558" t="s">
        <v>16</v>
      </c>
    </row>
    <row r="559" ht="23" customHeight="1" spans="1:10">
      <c r="A559" s="2">
        <v>558</v>
      </c>
      <c r="B559" s="3" t="s">
        <v>837</v>
      </c>
      <c r="C559" s="2" t="s">
        <v>838</v>
      </c>
      <c r="D559" s="2" t="s">
        <v>34</v>
      </c>
      <c r="E559" s="2" t="s">
        <v>81</v>
      </c>
      <c r="F559" s="2" t="s">
        <v>13</v>
      </c>
      <c r="G559" s="2" t="s">
        <v>21</v>
      </c>
      <c r="H559" s="4" t="str">
        <f>HYPERLINK("https://kandianshare.html5.qq.com/v2/news/4228064011922661698","https://kandianshare.html5.qq.com/v2/news/4228064011922661698")</f>
        <v>https://kandianshare.html5.qq.com/v2/news/4228064011922661698</v>
      </c>
      <c r="I559" s="3" t="s">
        <v>840</v>
      </c>
      <c r="J559" t="s">
        <v>16</v>
      </c>
    </row>
    <row r="560" ht="23" customHeight="1" spans="1:10">
      <c r="A560" s="2">
        <v>559</v>
      </c>
      <c r="B560" s="3" t="s">
        <v>837</v>
      </c>
      <c r="C560" s="2" t="s">
        <v>838</v>
      </c>
      <c r="D560" s="2" t="s">
        <v>35</v>
      </c>
      <c r="E560" s="2" t="s">
        <v>81</v>
      </c>
      <c r="F560" s="2" t="s">
        <v>13</v>
      </c>
      <c r="G560" s="2" t="s">
        <v>21</v>
      </c>
      <c r="H560" s="4" t="str">
        <f>HYPERLINK("https://new.qq.com/rain/a/20250920A05AM500","https://new.qq.com/rain/a/20250920A05AM500")</f>
        <v>https://new.qq.com/rain/a/20250920A05AM500</v>
      </c>
      <c r="I560" s="3" t="s">
        <v>840</v>
      </c>
      <c r="J560" t="s">
        <v>16</v>
      </c>
    </row>
    <row r="561" ht="23" customHeight="1" spans="1:10">
      <c r="A561" s="2">
        <v>560</v>
      </c>
      <c r="B561" s="3" t="s">
        <v>837</v>
      </c>
      <c r="C561" s="2" t="s">
        <v>841</v>
      </c>
      <c r="D561" s="2" t="s">
        <v>11</v>
      </c>
      <c r="E561" s="2" t="s">
        <v>81</v>
      </c>
      <c r="F561" s="2" t="s">
        <v>13</v>
      </c>
      <c r="G561" s="2" t="s">
        <v>21</v>
      </c>
      <c r="H561" s="4" t="str">
        <f>HYPERLINK("https://www.toutiao.com/article/7552124425177514536/","https://www.toutiao.com/article/7552124425177514536/")</f>
        <v>https://www.toutiao.com/article/7552124425177514536/</v>
      </c>
      <c r="I561" s="3" t="s">
        <v>840</v>
      </c>
      <c r="J561" t="s">
        <v>16</v>
      </c>
    </row>
    <row r="562" ht="23" customHeight="1" spans="1:10">
      <c r="A562" s="2">
        <v>561</v>
      </c>
      <c r="B562" s="3" t="s">
        <v>837</v>
      </c>
      <c r="C562" s="2" t="s">
        <v>842</v>
      </c>
      <c r="D562" s="2" t="s">
        <v>46</v>
      </c>
      <c r="E562" s="2" t="s">
        <v>81</v>
      </c>
      <c r="F562" s="2" t="s">
        <v>37</v>
      </c>
      <c r="G562" s="2" t="s">
        <v>21</v>
      </c>
      <c r="H562" s="4" t="str">
        <f>HYPERLINK("https://3g.k.sohu.com/t/n930695474?serialId=3148459b914bb68ad5a9772277e6d9d8&amp;showType=930695474","https://3g.k.sohu.com/t/n930695474?serialId=3148459b914bb68ad5a9772277e6d9d8&amp;showType=930695474")</f>
        <v>https://3g.k.sohu.com/t/n930695474?serialId=3148459b914bb68ad5a9772277e6d9d8&amp;showType=930695474</v>
      </c>
      <c r="I562" s="3" t="s">
        <v>840</v>
      </c>
      <c r="J562" t="s">
        <v>16</v>
      </c>
    </row>
    <row r="563" ht="23" customHeight="1" spans="1:10">
      <c r="A563" s="2">
        <v>562</v>
      </c>
      <c r="B563" s="3" t="s">
        <v>837</v>
      </c>
      <c r="C563" s="2" t="s">
        <v>842</v>
      </c>
      <c r="D563" s="2" t="s">
        <v>46</v>
      </c>
      <c r="E563" s="2" t="s">
        <v>81</v>
      </c>
      <c r="F563" s="2" t="s">
        <v>13</v>
      </c>
      <c r="G563" s="2" t="s">
        <v>21</v>
      </c>
      <c r="H563" s="4" t="str">
        <f>HYPERLINK("https://www.sohu.com/a/936940353_260616","https://www.sohu.com/a/936940353_260616")</f>
        <v>https://www.sohu.com/a/936940353_260616</v>
      </c>
      <c r="I563" s="3" t="s">
        <v>840</v>
      </c>
      <c r="J563" t="s">
        <v>16</v>
      </c>
    </row>
    <row r="564" ht="23" customHeight="1" spans="1:10">
      <c r="A564" s="2">
        <v>563</v>
      </c>
      <c r="B564" s="3" t="s">
        <v>837</v>
      </c>
      <c r="C564" s="2" t="s">
        <v>842</v>
      </c>
      <c r="D564" s="2" t="s">
        <v>41</v>
      </c>
      <c r="E564" s="2" t="s">
        <v>81</v>
      </c>
      <c r="F564" s="2" t="s">
        <v>13</v>
      </c>
      <c r="G564" s="2" t="s">
        <v>21</v>
      </c>
      <c r="H564" s="4" t="str">
        <f>HYPERLINK("https://mbd.baidu.com/newspage/data/landingshare?nid=news_10097180238511330515","https://mbd.baidu.com/newspage/data/landingshare?nid=news_10097180238511330515")</f>
        <v>https://mbd.baidu.com/newspage/data/landingshare?nid=news_10097180238511330515</v>
      </c>
      <c r="I564" s="3" t="s">
        <v>840</v>
      </c>
      <c r="J564" t="s">
        <v>16</v>
      </c>
    </row>
    <row r="565" ht="23" customHeight="1" spans="1:10">
      <c r="A565" s="2">
        <v>564</v>
      </c>
      <c r="B565" s="3" t="s">
        <v>837</v>
      </c>
      <c r="C565" s="2" t="s">
        <v>842</v>
      </c>
      <c r="D565" s="2" t="s">
        <v>40</v>
      </c>
      <c r="E565" s="2" t="s">
        <v>81</v>
      </c>
      <c r="F565" s="2" t="s">
        <v>13</v>
      </c>
      <c r="G565" s="2" t="s">
        <v>21</v>
      </c>
      <c r="H565" s="4" t="str">
        <f>HYPERLINK("https://www.yoojia.com/article/10097180238511330515.html","https://www.yoojia.com/article/10097180238511330515.html")</f>
        <v>https://www.yoojia.com/article/10097180238511330515.html</v>
      </c>
      <c r="I565" s="3" t="s">
        <v>840</v>
      </c>
      <c r="J565" t="s">
        <v>16</v>
      </c>
    </row>
    <row r="566" ht="23" customHeight="1" spans="1:10">
      <c r="A566" s="2">
        <v>565</v>
      </c>
      <c r="B566" s="3" t="s">
        <v>843</v>
      </c>
      <c r="C566" s="2" t="s">
        <v>844</v>
      </c>
      <c r="D566" s="2" t="s">
        <v>450</v>
      </c>
      <c r="E566" s="2" t="s">
        <v>81</v>
      </c>
      <c r="F566" s="2" t="s">
        <v>37</v>
      </c>
      <c r="G566" s="2" t="s">
        <v>21</v>
      </c>
      <c r="H566" s="4" t="str">
        <f>HYPERLINK("http://m.uczzd.cn/ucnews/news?aid=10507630729126559528","http://m.uczzd.cn/ucnews/news?aid=10507630729126559528")</f>
        <v>http://m.uczzd.cn/ucnews/news?aid=10507630729126559528</v>
      </c>
      <c r="I566" s="3" t="s">
        <v>840</v>
      </c>
      <c r="J566" t="s">
        <v>16</v>
      </c>
    </row>
    <row r="567" ht="23" customHeight="1" spans="1:10">
      <c r="A567" s="2">
        <v>566</v>
      </c>
      <c r="B567" s="3" t="s">
        <v>837</v>
      </c>
      <c r="C567" s="2" t="s">
        <v>845</v>
      </c>
      <c r="D567" s="2" t="s">
        <v>46</v>
      </c>
      <c r="E567" s="2" t="s">
        <v>81</v>
      </c>
      <c r="F567" s="2" t="s">
        <v>37</v>
      </c>
      <c r="G567" s="2" t="s">
        <v>21</v>
      </c>
      <c r="H567" s="4" t="str">
        <f>HYPERLINK("https://3g.k.sohu.com/t/n930695478?serialId=fb4eb615a9a13b29dfc729b40144e497&amp;showType=930695478","https://3g.k.sohu.com/t/n930695478?serialId=fb4eb615a9a13b29dfc729b40144e497&amp;showType=930695478")</f>
        <v>https://3g.k.sohu.com/t/n930695478?serialId=fb4eb615a9a13b29dfc729b40144e497&amp;showType=930695478</v>
      </c>
      <c r="I567" s="3" t="s">
        <v>840</v>
      </c>
      <c r="J567" t="s">
        <v>16</v>
      </c>
    </row>
    <row r="568" ht="23" customHeight="1" spans="1:10">
      <c r="A568" s="2">
        <v>567</v>
      </c>
      <c r="B568" s="3" t="s">
        <v>837</v>
      </c>
      <c r="C568" s="2" t="s">
        <v>845</v>
      </c>
      <c r="D568" s="2" t="s">
        <v>491</v>
      </c>
      <c r="E568" s="2" t="s">
        <v>81</v>
      </c>
      <c r="F568" s="2" t="s">
        <v>13</v>
      </c>
      <c r="G568" s="2" t="s">
        <v>21</v>
      </c>
      <c r="H568" s="4" t="str">
        <f>HYPERLINK("https://ishare.ifeng.com/c/s/8mo868UpzJ3","https://ishare.ifeng.com/c/s/8mo868UpzJ3")</f>
        <v>https://ishare.ifeng.com/c/s/8mo868UpzJ3</v>
      </c>
      <c r="I568" s="3" t="s">
        <v>840</v>
      </c>
      <c r="J568" t="s">
        <v>16</v>
      </c>
    </row>
    <row r="569" ht="23" customHeight="1" spans="1:10">
      <c r="A569" s="2">
        <v>568</v>
      </c>
      <c r="B569" s="3" t="s">
        <v>837</v>
      </c>
      <c r="C569" s="2" t="s">
        <v>845</v>
      </c>
      <c r="D569" s="2" t="s">
        <v>107</v>
      </c>
      <c r="E569" s="2" t="s">
        <v>81</v>
      </c>
      <c r="F569" s="2" t="s">
        <v>13</v>
      </c>
      <c r="G569" s="2" t="s">
        <v>21</v>
      </c>
      <c r="H569" s="4" t="str">
        <f>HYPERLINK("https://k.sina.cn/article_5044281310_12ca99fde02002fc0o.html","https://k.sina.cn/article_5044281310_12ca99fde02002fc0o.html")</f>
        <v>https://k.sina.cn/article_5044281310_12ca99fde02002fc0o.html</v>
      </c>
      <c r="I569" s="3" t="s">
        <v>840</v>
      </c>
      <c r="J569" t="s">
        <v>16</v>
      </c>
    </row>
    <row r="570" ht="23" customHeight="1" spans="1:10">
      <c r="A570" s="2">
        <v>569</v>
      </c>
      <c r="B570" s="3" t="s">
        <v>837</v>
      </c>
      <c r="C570" s="2" t="s">
        <v>845</v>
      </c>
      <c r="D570" s="2" t="s">
        <v>491</v>
      </c>
      <c r="E570" s="2" t="s">
        <v>81</v>
      </c>
      <c r="F570" s="2" t="s">
        <v>37</v>
      </c>
      <c r="G570" s="2" t="s">
        <v>21</v>
      </c>
      <c r="H570" s="4" t="str">
        <f>HYPERLINK("https://ishare.ifeng.com/c/s/v002Zq7Jsh9ZTeu2nWIqXoabod-_W4rG59yYbFoQBrBjQcEs__","https://ishare.ifeng.com/c/s/v002Zq7Jsh9ZTeu2nWIqXoabod-_W4rG59yYbFoQBrBjQcEs__")</f>
        <v>https://ishare.ifeng.com/c/s/v002Zq7Jsh9ZTeu2nWIqXoabod-_W4rG59yYbFoQBrBjQcEs__</v>
      </c>
      <c r="I570" s="3" t="s">
        <v>840</v>
      </c>
      <c r="J570" t="s">
        <v>16</v>
      </c>
    </row>
    <row r="571" ht="23" customHeight="1" spans="1:10">
      <c r="A571" s="2">
        <v>570</v>
      </c>
      <c r="B571" s="3" t="s">
        <v>837</v>
      </c>
      <c r="C571" s="2" t="s">
        <v>845</v>
      </c>
      <c r="D571" s="2" t="s">
        <v>29</v>
      </c>
      <c r="E571" s="2" t="s">
        <v>81</v>
      </c>
      <c r="F571" s="2" t="s">
        <v>13</v>
      </c>
      <c r="G571" s="2" t="s">
        <v>21</v>
      </c>
      <c r="H571" s="4" t="str">
        <f>HYPERLINK("https://finance.sina.cn/2025-09-20/detail-infrcxvc1764015.d.html","https://finance.sina.cn/2025-09-20/detail-infrcxvc1764015.d.html")</f>
        <v>https://finance.sina.cn/2025-09-20/detail-infrcxvc1764015.d.html</v>
      </c>
      <c r="I571" s="3" t="s">
        <v>840</v>
      </c>
      <c r="J571" t="s">
        <v>16</v>
      </c>
    </row>
    <row r="572" ht="23" customHeight="1" spans="1:10">
      <c r="A572" s="2">
        <v>571</v>
      </c>
      <c r="B572" s="3" t="s">
        <v>846</v>
      </c>
      <c r="C572" s="2" t="s">
        <v>847</v>
      </c>
      <c r="D572" s="2" t="s">
        <v>11</v>
      </c>
      <c r="E572" s="2" t="s">
        <v>126</v>
      </c>
      <c r="F572" s="2" t="s">
        <v>13</v>
      </c>
      <c r="G572" s="2" t="s">
        <v>21</v>
      </c>
      <c r="H572" s="4" t="str">
        <f>HYPERLINK("https://www.toutiao.com/article/7552097675248714275/","https://www.toutiao.com/article/7552097675248714275/")</f>
        <v>https://www.toutiao.com/article/7552097675248714275/</v>
      </c>
      <c r="I572" s="3" t="s">
        <v>848</v>
      </c>
      <c r="J572" t="s">
        <v>16</v>
      </c>
    </row>
    <row r="573" ht="23" customHeight="1" spans="1:10">
      <c r="A573" s="2">
        <v>572</v>
      </c>
      <c r="B573" s="3" t="s">
        <v>846</v>
      </c>
      <c r="C573" s="2" t="s">
        <v>849</v>
      </c>
      <c r="D573" s="2" t="s">
        <v>41</v>
      </c>
      <c r="E573" s="2" t="s">
        <v>126</v>
      </c>
      <c r="F573" s="2" t="s">
        <v>13</v>
      </c>
      <c r="G573" s="2" t="s">
        <v>21</v>
      </c>
      <c r="H573" s="4" t="str">
        <f>HYPERLINK("https://mbd.baidu.com/newspage/data/landingshare?nid=news_9374439037426908925","https://mbd.baidu.com/newspage/data/landingshare?nid=news_9374439037426908925")</f>
        <v>https://mbd.baidu.com/newspage/data/landingshare?nid=news_9374439037426908925</v>
      </c>
      <c r="I573" s="3" t="s">
        <v>848</v>
      </c>
      <c r="J573" t="s">
        <v>16</v>
      </c>
    </row>
    <row r="574" ht="23" customHeight="1" spans="1:10">
      <c r="A574" s="2">
        <v>573</v>
      </c>
      <c r="B574" s="3" t="s">
        <v>846</v>
      </c>
      <c r="C574" s="2" t="s">
        <v>849</v>
      </c>
      <c r="D574" s="2" t="s">
        <v>40</v>
      </c>
      <c r="E574" s="2" t="s">
        <v>126</v>
      </c>
      <c r="F574" s="2" t="s">
        <v>13</v>
      </c>
      <c r="G574" s="2" t="s">
        <v>21</v>
      </c>
      <c r="H574" s="4" t="str">
        <f>HYPERLINK("https://www.yoojia.com/article/9374439037426908925.html","https://www.yoojia.com/article/9374439037426908925.html")</f>
        <v>https://www.yoojia.com/article/9374439037426908925.html</v>
      </c>
      <c r="I574" s="3" t="s">
        <v>848</v>
      </c>
      <c r="J574" t="s">
        <v>16</v>
      </c>
    </row>
    <row r="575" ht="23" customHeight="1" spans="1:10">
      <c r="A575" s="2">
        <v>574</v>
      </c>
      <c r="B575" s="3" t="s">
        <v>846</v>
      </c>
      <c r="C575" s="2" t="s">
        <v>850</v>
      </c>
      <c r="D575" s="2" t="s">
        <v>334</v>
      </c>
      <c r="E575" s="2" t="s">
        <v>823</v>
      </c>
      <c r="F575" s="2" t="s">
        <v>37</v>
      </c>
      <c r="G575" s="2" t="s">
        <v>26</v>
      </c>
      <c r="H575" s="4" t="str">
        <f>HYPERLINK("https://j.021east.com/m/1758342077043213","https://j.021east.com/m/1758342077043213")</f>
        <v>https://j.021east.com/m/1758342077043213</v>
      </c>
      <c r="I575" s="3" t="s">
        <v>851</v>
      </c>
      <c r="J575" t="s">
        <v>16</v>
      </c>
    </row>
    <row r="576" ht="23" customHeight="1" spans="1:10">
      <c r="A576" s="2">
        <v>575</v>
      </c>
      <c r="B576" s="3" t="s">
        <v>852</v>
      </c>
      <c r="C576" s="2" t="s">
        <v>853</v>
      </c>
      <c r="D576" s="2" t="s">
        <v>19</v>
      </c>
      <c r="E576" s="2" t="s">
        <v>20</v>
      </c>
      <c r="F576" s="2" t="s">
        <v>37</v>
      </c>
      <c r="G576" s="2" t="s">
        <v>21</v>
      </c>
      <c r="H576" s="4" t="str">
        <f>HYPERLINK("https://c.m.163.com/news/a/K9SR23J6055040N3.html","https://c.m.163.com/news/a/K9SR23J6055040N3.html")</f>
        <v>https://c.m.163.com/news/a/K9SR23J6055040N3.html</v>
      </c>
      <c r="I576" s="3" t="s">
        <v>854</v>
      </c>
      <c r="J576" t="s">
        <v>16</v>
      </c>
    </row>
    <row r="577" ht="23" customHeight="1" spans="1:10">
      <c r="A577" s="2">
        <v>576</v>
      </c>
      <c r="B577" s="3" t="s">
        <v>852</v>
      </c>
      <c r="C577" s="2" t="s">
        <v>855</v>
      </c>
      <c r="D577" s="2" t="s">
        <v>11</v>
      </c>
      <c r="E577" s="2" t="s">
        <v>32</v>
      </c>
      <c r="F577" s="2" t="s">
        <v>13</v>
      </c>
      <c r="G577" s="2" t="s">
        <v>21</v>
      </c>
      <c r="H577" s="4" t="str">
        <f>HYPERLINK("https://www.toutiao.com/article/7551948186420609551/","https://www.toutiao.com/article/7551948186420609551/")</f>
        <v>https://www.toutiao.com/article/7551948186420609551/</v>
      </c>
      <c r="I577" s="3" t="s">
        <v>856</v>
      </c>
      <c r="J577" t="s">
        <v>16</v>
      </c>
    </row>
    <row r="578" ht="23" customHeight="1" spans="1:10">
      <c r="A578" s="2">
        <v>577</v>
      </c>
      <c r="B578" s="3" t="s">
        <v>852</v>
      </c>
      <c r="C578" s="2" t="s">
        <v>857</v>
      </c>
      <c r="D578" s="2" t="s">
        <v>35</v>
      </c>
      <c r="E578" s="2" t="s">
        <v>32</v>
      </c>
      <c r="F578" s="2" t="s">
        <v>13</v>
      </c>
      <c r="G578" s="2" t="s">
        <v>21</v>
      </c>
      <c r="H578" s="4" t="str">
        <f>HYPERLINK("https://new.qq.com/rain/a/20250920A01AQY00","https://new.qq.com/rain/a/20250920A01AQY00")</f>
        <v>https://new.qq.com/rain/a/20250920A01AQY00</v>
      </c>
      <c r="I578" s="3" t="s">
        <v>854</v>
      </c>
      <c r="J578" t="s">
        <v>16</v>
      </c>
    </row>
    <row r="579" ht="23" customHeight="1" spans="1:10">
      <c r="A579" s="2">
        <v>578</v>
      </c>
      <c r="B579" s="3" t="s">
        <v>852</v>
      </c>
      <c r="C579" s="2" t="s">
        <v>857</v>
      </c>
      <c r="D579" s="2" t="s">
        <v>34</v>
      </c>
      <c r="E579" s="2" t="s">
        <v>32</v>
      </c>
      <c r="F579" s="2" t="s">
        <v>13</v>
      </c>
      <c r="G579" s="2" t="s">
        <v>21</v>
      </c>
      <c r="H579" s="4" t="str">
        <f>HYPERLINK("https://kandianshare.html5.qq.com/v2/news/5335949433380086082","https://kandianshare.html5.qq.com/v2/news/5335949433380086082")</f>
        <v>https://kandianshare.html5.qq.com/v2/news/5335949433380086082</v>
      </c>
      <c r="I579" s="3" t="s">
        <v>854</v>
      </c>
      <c r="J579" t="s">
        <v>16</v>
      </c>
    </row>
    <row r="580" ht="23" customHeight="1" spans="1:10">
      <c r="A580" s="2">
        <v>579</v>
      </c>
      <c r="B580" s="3" t="s">
        <v>852</v>
      </c>
      <c r="C580" s="2" t="s">
        <v>858</v>
      </c>
      <c r="D580" s="2" t="s">
        <v>11</v>
      </c>
      <c r="E580" s="2" t="s">
        <v>20</v>
      </c>
      <c r="F580" s="2" t="s">
        <v>13</v>
      </c>
      <c r="G580" s="2" t="s">
        <v>21</v>
      </c>
      <c r="H580" s="4" t="str">
        <f>HYPERLINK("https://www.toutiao.com/article/7551946355619496486/","https://www.toutiao.com/article/7551946355619496486/")</f>
        <v>https://www.toutiao.com/article/7551946355619496486/</v>
      </c>
      <c r="I580" s="3" t="s">
        <v>856</v>
      </c>
      <c r="J580" t="s">
        <v>16</v>
      </c>
    </row>
    <row r="581" ht="23" customHeight="1" spans="1:10">
      <c r="A581" s="2">
        <v>580</v>
      </c>
      <c r="B581" s="3" t="s">
        <v>852</v>
      </c>
      <c r="C581" s="2" t="s">
        <v>859</v>
      </c>
      <c r="D581" s="2" t="s">
        <v>41</v>
      </c>
      <c r="E581" s="2" t="s">
        <v>32</v>
      </c>
      <c r="F581" s="2" t="s">
        <v>13</v>
      </c>
      <c r="G581" s="2" t="s">
        <v>21</v>
      </c>
      <c r="H581" s="4" t="str">
        <f>HYPERLINK("https://mbd.baidu.com/newspage/data/landingshare?nid=news_9625613818795896704","https://mbd.baidu.com/newspage/data/landingshare?nid=news_9625613818795896704")</f>
        <v>https://mbd.baidu.com/newspage/data/landingshare?nid=news_9625613818795896704</v>
      </c>
      <c r="I581" s="3" t="s">
        <v>856</v>
      </c>
      <c r="J581" t="s">
        <v>16</v>
      </c>
    </row>
    <row r="582" ht="23" customHeight="1" spans="1:10">
      <c r="A582" s="2">
        <v>581</v>
      </c>
      <c r="B582" s="3" t="s">
        <v>852</v>
      </c>
      <c r="C582" s="2" t="s">
        <v>859</v>
      </c>
      <c r="D582" s="2" t="s">
        <v>46</v>
      </c>
      <c r="E582" s="2" t="s">
        <v>32</v>
      </c>
      <c r="F582" s="2" t="s">
        <v>37</v>
      </c>
      <c r="G582" s="2" t="s">
        <v>21</v>
      </c>
      <c r="H582" s="4" t="str">
        <f>HYPERLINK("https://3g.k.sohu.com/t/n930668825?serialId=8b77b229525174c656e83596844b89c7&amp;showType=930668825","https://3g.k.sohu.com/t/n930668825?serialId=8b77b229525174c656e83596844b89c7&amp;showType=930668825")</f>
        <v>https://3g.k.sohu.com/t/n930668825?serialId=8b77b229525174c656e83596844b89c7&amp;showType=930668825</v>
      </c>
      <c r="I582" s="3" t="s">
        <v>860</v>
      </c>
      <c r="J582" t="s">
        <v>16</v>
      </c>
    </row>
    <row r="583" ht="23" customHeight="1" spans="1:10">
      <c r="A583" s="2">
        <v>582</v>
      </c>
      <c r="B583" s="3" t="s">
        <v>852</v>
      </c>
      <c r="C583" s="2" t="s">
        <v>859</v>
      </c>
      <c r="D583" s="2" t="s">
        <v>40</v>
      </c>
      <c r="E583" s="2" t="s">
        <v>20</v>
      </c>
      <c r="F583" s="2" t="s">
        <v>13</v>
      </c>
      <c r="G583" s="2" t="s">
        <v>21</v>
      </c>
      <c r="H583" s="4" t="str">
        <f>HYPERLINK("https://www.yoojia.com/article/10192947675569738766.html","https://www.yoojia.com/article/10192947675569738766.html")</f>
        <v>https://www.yoojia.com/article/10192947675569738766.html</v>
      </c>
      <c r="I583" s="3" t="s">
        <v>856</v>
      </c>
      <c r="J583" t="s">
        <v>16</v>
      </c>
    </row>
    <row r="584" ht="23" customHeight="1" spans="1:10">
      <c r="A584" s="2">
        <v>583</v>
      </c>
      <c r="B584" s="3" t="s">
        <v>852</v>
      </c>
      <c r="C584" s="2" t="s">
        <v>859</v>
      </c>
      <c r="D584" s="2" t="s">
        <v>41</v>
      </c>
      <c r="E584" s="2" t="s">
        <v>20</v>
      </c>
      <c r="F584" s="2" t="s">
        <v>13</v>
      </c>
      <c r="G584" s="2" t="s">
        <v>21</v>
      </c>
      <c r="H584" s="4" t="str">
        <f>HYPERLINK("https://mbd.baidu.com/newspage/data/landingshare?nid=news_10192947675569738766","https://mbd.baidu.com/newspage/data/landingshare?nid=news_10192947675569738766")</f>
        <v>https://mbd.baidu.com/newspage/data/landingshare?nid=news_10192947675569738766</v>
      </c>
      <c r="I584" s="3" t="s">
        <v>856</v>
      </c>
      <c r="J584" t="s">
        <v>16</v>
      </c>
    </row>
    <row r="585" ht="23" customHeight="1" spans="1:10">
      <c r="A585" s="2">
        <v>584</v>
      </c>
      <c r="B585" s="3" t="s">
        <v>852</v>
      </c>
      <c r="C585" s="2" t="s">
        <v>859</v>
      </c>
      <c r="D585" s="2" t="s">
        <v>40</v>
      </c>
      <c r="E585" s="2" t="s">
        <v>32</v>
      </c>
      <c r="F585" s="2" t="s">
        <v>13</v>
      </c>
      <c r="G585" s="2" t="s">
        <v>21</v>
      </c>
      <c r="H585" s="4" t="str">
        <f>HYPERLINK("https://www.yoojia.com/article/9625613818795896704.html","https://www.yoojia.com/article/9625613818795896704.html")</f>
        <v>https://www.yoojia.com/article/9625613818795896704.html</v>
      </c>
      <c r="I585" s="3" t="s">
        <v>856</v>
      </c>
      <c r="J585" t="s">
        <v>16</v>
      </c>
    </row>
    <row r="586" ht="23" customHeight="1" spans="1:10">
      <c r="A586" s="2">
        <v>585</v>
      </c>
      <c r="B586" s="3" t="s">
        <v>861</v>
      </c>
      <c r="C586" s="2" t="s">
        <v>862</v>
      </c>
      <c r="D586" s="2" t="s">
        <v>19</v>
      </c>
      <c r="E586" s="2" t="s">
        <v>20</v>
      </c>
      <c r="F586" s="2" t="s">
        <v>37</v>
      </c>
      <c r="G586" s="2" t="s">
        <v>21</v>
      </c>
      <c r="H586" s="4" t="str">
        <f>HYPERLINK("https://c.m.163.com/news/a/K9RQCD91055040N3.html","https://c.m.163.com/news/a/K9RQCD91055040N3.html")</f>
        <v>https://c.m.163.com/news/a/K9RQCD91055040N3.html</v>
      </c>
      <c r="I586" s="3" t="s">
        <v>863</v>
      </c>
      <c r="J586" t="s">
        <v>16</v>
      </c>
    </row>
    <row r="587" ht="23" customHeight="1" spans="1:10">
      <c r="A587" s="2">
        <v>586</v>
      </c>
      <c r="B587" s="3" t="s">
        <v>846</v>
      </c>
      <c r="C587" s="2" t="s">
        <v>864</v>
      </c>
      <c r="D587" s="2" t="s">
        <v>46</v>
      </c>
      <c r="E587" s="2" t="s">
        <v>324</v>
      </c>
      <c r="F587" s="2" t="s">
        <v>37</v>
      </c>
      <c r="G587" s="2" t="s">
        <v>26</v>
      </c>
      <c r="H587" s="4" t="str">
        <f>HYPERLINK("https://3g.k.sohu.com/t/n930646411?serialId=08c8bdc74228cbf31bb1f0539ea45947&amp;showType=930646411","https://3g.k.sohu.com/t/n930646411?serialId=08c8bdc74228cbf31bb1f0539ea45947&amp;showType=930646411")</f>
        <v>https://3g.k.sohu.com/t/n930646411?serialId=08c8bdc74228cbf31bb1f0539ea45947&amp;showType=930646411</v>
      </c>
      <c r="I587" s="3" t="s">
        <v>865</v>
      </c>
      <c r="J587" t="s">
        <v>16</v>
      </c>
    </row>
    <row r="588" ht="23" customHeight="1" spans="1:10">
      <c r="A588" s="2">
        <v>587</v>
      </c>
      <c r="B588" s="3" t="s">
        <v>25</v>
      </c>
      <c r="C588" s="2" t="s">
        <v>866</v>
      </c>
      <c r="D588" s="2" t="s">
        <v>20</v>
      </c>
      <c r="E588" s="2" t="s">
        <v>25</v>
      </c>
      <c r="F588" s="2" t="s">
        <v>37</v>
      </c>
      <c r="G588" s="2" t="s">
        <v>21</v>
      </c>
      <c r="H588" s="4" t="str">
        <f>HYPERLINK("https://www.shobserver.com/staticsg/res/html/web/newsDetail.html?id=985885","https://www.shobserver.com/staticsg/res/html/web/newsDetail.html?id=985885")</f>
        <v>https://www.shobserver.com/staticsg/res/html/web/newsDetail.html?id=985885</v>
      </c>
      <c r="I588" s="3" t="s">
        <v>863</v>
      </c>
      <c r="J588" t="s">
        <v>16</v>
      </c>
    </row>
    <row r="589" ht="23" customHeight="1" spans="1:10">
      <c r="A589" s="2">
        <v>588</v>
      </c>
      <c r="B589" s="3" t="s">
        <v>861</v>
      </c>
      <c r="C589" s="2" t="s">
        <v>867</v>
      </c>
      <c r="D589" s="2" t="s">
        <v>11</v>
      </c>
      <c r="E589" s="2" t="s">
        <v>20</v>
      </c>
      <c r="F589" s="2" t="s">
        <v>13</v>
      </c>
      <c r="G589" s="2" t="s">
        <v>21</v>
      </c>
      <c r="H589" s="4" t="str">
        <f>HYPERLINK("https://www.toutiao.com/article/7551798987167187466/","https://www.toutiao.com/article/7551798987167187466/")</f>
        <v>https://www.toutiao.com/article/7551798987167187466/</v>
      </c>
      <c r="I589" s="3" t="s">
        <v>868</v>
      </c>
      <c r="J589" t="s">
        <v>16</v>
      </c>
    </row>
    <row r="590" ht="23" customHeight="1" spans="1:10">
      <c r="A590" s="2">
        <v>589</v>
      </c>
      <c r="B590" s="3" t="s">
        <v>861</v>
      </c>
      <c r="C590" s="2" t="s">
        <v>869</v>
      </c>
      <c r="D590" s="2" t="s">
        <v>35</v>
      </c>
      <c r="E590" s="2" t="s">
        <v>32</v>
      </c>
      <c r="F590" s="2" t="s">
        <v>13</v>
      </c>
      <c r="G590" s="2" t="s">
        <v>21</v>
      </c>
      <c r="H590" s="4" t="str">
        <f>HYPERLINK("https://new.qq.com/rain/a/20250919A08WCO00","https://new.qq.com/rain/a/20250919A08WCO00")</f>
        <v>https://new.qq.com/rain/a/20250919A08WCO00</v>
      </c>
      <c r="I590" s="3" t="s">
        <v>863</v>
      </c>
      <c r="J590" t="s">
        <v>16</v>
      </c>
    </row>
    <row r="591" ht="23" customHeight="1" spans="1:10">
      <c r="A591" s="2">
        <v>590</v>
      </c>
      <c r="B591" s="3" t="s">
        <v>861</v>
      </c>
      <c r="C591" s="2" t="s">
        <v>869</v>
      </c>
      <c r="D591" s="2" t="s">
        <v>34</v>
      </c>
      <c r="E591" s="2" t="s">
        <v>32</v>
      </c>
      <c r="F591" s="2" t="s">
        <v>13</v>
      </c>
      <c r="G591" s="2" t="s">
        <v>21</v>
      </c>
      <c r="H591" s="4" t="str">
        <f>HYPERLINK("https://kandianshare.html5.qq.com/v2/news/6714050846831137090","https://kandianshare.html5.qq.com/v2/news/6714050846831137090")</f>
        <v>https://kandianshare.html5.qq.com/v2/news/6714050846831137090</v>
      </c>
      <c r="I591" s="3" t="s">
        <v>863</v>
      </c>
      <c r="J591" t="s">
        <v>16</v>
      </c>
    </row>
    <row r="592" ht="23" customHeight="1" spans="1:10">
      <c r="A592" s="2">
        <v>591</v>
      </c>
      <c r="B592" s="3" t="s">
        <v>861</v>
      </c>
      <c r="C592" s="2" t="s">
        <v>870</v>
      </c>
      <c r="D592" s="2" t="s">
        <v>35</v>
      </c>
      <c r="E592" s="2" t="s">
        <v>20</v>
      </c>
      <c r="F592" s="2" t="s">
        <v>13</v>
      </c>
      <c r="G592" s="2" t="s">
        <v>21</v>
      </c>
      <c r="H592" s="4" t="str">
        <f>HYPERLINK("https://new.qq.com/rain/a/20250919A08W4Y00","https://new.qq.com/rain/a/20250919A08W4Y00")</f>
        <v>https://new.qq.com/rain/a/20250919A08W4Y00</v>
      </c>
      <c r="I592" s="3" t="s">
        <v>863</v>
      </c>
      <c r="J592" t="s">
        <v>16</v>
      </c>
    </row>
    <row r="593" ht="23" customHeight="1" spans="1:10">
      <c r="A593" s="2">
        <v>592</v>
      </c>
      <c r="B593" s="3" t="s">
        <v>861</v>
      </c>
      <c r="C593" s="2" t="s">
        <v>870</v>
      </c>
      <c r="D593" s="2" t="s">
        <v>34</v>
      </c>
      <c r="E593" s="2" t="s">
        <v>20</v>
      </c>
      <c r="F593" s="2" t="s">
        <v>13</v>
      </c>
      <c r="G593" s="2" t="s">
        <v>21</v>
      </c>
      <c r="H593" s="4" t="str">
        <f>HYPERLINK("https://kandianshare.html5.qq.com/v2/news/5894395714448785730","https://kandianshare.html5.qq.com/v2/news/5894395714448785730")</f>
        <v>https://kandianshare.html5.qq.com/v2/news/5894395714448785730</v>
      </c>
      <c r="I593" s="3" t="s">
        <v>863</v>
      </c>
      <c r="J593" t="s">
        <v>16</v>
      </c>
    </row>
    <row r="594" ht="23" customHeight="1" spans="1:10">
      <c r="A594" s="2">
        <v>593</v>
      </c>
      <c r="B594" s="3" t="s">
        <v>861</v>
      </c>
      <c r="C594" s="2" t="s">
        <v>871</v>
      </c>
      <c r="D594" s="2" t="s">
        <v>29</v>
      </c>
      <c r="E594" s="2" t="s">
        <v>20</v>
      </c>
      <c r="F594" s="2" t="s">
        <v>13</v>
      </c>
      <c r="G594" s="2" t="s">
        <v>21</v>
      </c>
      <c r="H594" s="4" t="str">
        <f>HYPERLINK("https://finance.sina.cn/2025-09-19/detail-infqzzeh4694607.d.html","https://finance.sina.cn/2025-09-19/detail-infqzzeh4694607.d.html")</f>
        <v>https://finance.sina.cn/2025-09-19/detail-infqzzeh4694607.d.html</v>
      </c>
      <c r="I594" s="3" t="s">
        <v>863</v>
      </c>
      <c r="J594" t="s">
        <v>16</v>
      </c>
    </row>
    <row r="595" ht="23" customHeight="1" spans="1:10">
      <c r="A595" s="2">
        <v>594</v>
      </c>
      <c r="B595" s="3" t="s">
        <v>861</v>
      </c>
      <c r="C595" s="2" t="s">
        <v>871</v>
      </c>
      <c r="D595" s="2" t="s">
        <v>43</v>
      </c>
      <c r="E595" s="2" t="s">
        <v>25</v>
      </c>
      <c r="F595" s="2" t="s">
        <v>13</v>
      </c>
      <c r="G595" s="2" t="s">
        <v>21</v>
      </c>
      <c r="H595" s="4" t="str">
        <f>HYPERLINK("https://www.jfdaily.com.cn/staticsg/res/html/web/newsDetail.html?id=985885","https://www.jfdaily.com.cn/staticsg/res/html/web/newsDetail.html?id=985885")</f>
        <v>https://www.jfdaily.com.cn/staticsg/res/html/web/newsDetail.html?id=985885</v>
      </c>
      <c r="I595" s="3" t="s">
        <v>863</v>
      </c>
      <c r="J595" t="s">
        <v>16</v>
      </c>
    </row>
    <row r="596" ht="23" customHeight="1" spans="1:10">
      <c r="A596" s="2">
        <v>595</v>
      </c>
      <c r="B596" s="3" t="s">
        <v>861</v>
      </c>
      <c r="C596" s="2" t="s">
        <v>872</v>
      </c>
      <c r="D596" s="2" t="s">
        <v>41</v>
      </c>
      <c r="E596" s="2" t="s">
        <v>20</v>
      </c>
      <c r="F596" s="2" t="s">
        <v>13</v>
      </c>
      <c r="G596" s="2" t="s">
        <v>21</v>
      </c>
      <c r="H596" s="4" t="str">
        <f>HYPERLINK("https://mbd.baidu.com/newspage/data/landingshare?nid=news_9084522676181339220","https://mbd.baidu.com/newspage/data/landingshare?nid=news_9084522676181339220")</f>
        <v>https://mbd.baidu.com/newspage/data/landingshare?nid=news_9084522676181339220</v>
      </c>
      <c r="I596" s="3" t="s">
        <v>868</v>
      </c>
      <c r="J596" t="s">
        <v>16</v>
      </c>
    </row>
    <row r="597" ht="23" customHeight="1" spans="1:10">
      <c r="A597" s="2">
        <v>596</v>
      </c>
      <c r="B597" s="3" t="s">
        <v>861</v>
      </c>
      <c r="C597" s="2" t="s">
        <v>872</v>
      </c>
      <c r="D597" s="2" t="s">
        <v>46</v>
      </c>
      <c r="E597" s="2" t="s">
        <v>32</v>
      </c>
      <c r="F597" s="2" t="s">
        <v>37</v>
      </c>
      <c r="G597" s="2" t="s">
        <v>21</v>
      </c>
      <c r="H597" s="4" t="str">
        <f>HYPERLINK("https://3g.k.sohu.com/t/n930644572?serialId=896cabd37e169a72d426f72e0201b0e3&amp;showType=930644572","https://3g.k.sohu.com/t/n930644572?serialId=896cabd37e169a72d426f72e0201b0e3&amp;showType=930644572")</f>
        <v>https://3g.k.sohu.com/t/n930644572?serialId=896cabd37e169a72d426f72e0201b0e3&amp;showType=930644572</v>
      </c>
      <c r="I597" s="3" t="s">
        <v>873</v>
      </c>
      <c r="J597" t="s">
        <v>16</v>
      </c>
    </row>
    <row r="598" ht="23" customHeight="1" spans="1:10">
      <c r="A598" s="2">
        <v>597</v>
      </c>
      <c r="B598" s="3" t="s">
        <v>861</v>
      </c>
      <c r="C598" s="2" t="s">
        <v>872</v>
      </c>
      <c r="D598" s="2" t="s">
        <v>41</v>
      </c>
      <c r="E598" s="2" t="s">
        <v>32</v>
      </c>
      <c r="F598" s="2" t="s">
        <v>13</v>
      </c>
      <c r="G598" s="2" t="s">
        <v>21</v>
      </c>
      <c r="H598" s="4" t="str">
        <f>HYPERLINK("https://mbd.baidu.com/newspage/data/landingshare?nid=news_9428016946445932039","https://mbd.baidu.com/newspage/data/landingshare?nid=news_9428016946445932039")</f>
        <v>https://mbd.baidu.com/newspage/data/landingshare?nid=news_9428016946445932039</v>
      </c>
      <c r="I598" s="3" t="s">
        <v>868</v>
      </c>
      <c r="J598" t="s">
        <v>16</v>
      </c>
    </row>
    <row r="599" ht="23" customHeight="1" spans="1:10">
      <c r="A599" s="2">
        <v>598</v>
      </c>
      <c r="B599" s="3" t="s">
        <v>861</v>
      </c>
      <c r="C599" s="2" t="s">
        <v>872</v>
      </c>
      <c r="D599" s="2" t="s">
        <v>46</v>
      </c>
      <c r="E599" s="2" t="s">
        <v>32</v>
      </c>
      <c r="F599" s="2" t="s">
        <v>37</v>
      </c>
      <c r="G599" s="2" t="s">
        <v>21</v>
      </c>
      <c r="H599" s="4" t="str">
        <f>HYPERLINK("https://3g.k.sohu.com/t/n930506585?serialId=b40d65285c07f1d2975a3121472cce9b&amp;showType=930506585","https://3g.k.sohu.com/t/n930506585?serialId=b40d65285c07f1d2975a3121472cce9b&amp;showType=930506585")</f>
        <v>https://3g.k.sohu.com/t/n930506585?serialId=b40d65285c07f1d2975a3121472cce9b&amp;showType=930506585</v>
      </c>
      <c r="I599" s="3" t="s">
        <v>874</v>
      </c>
      <c r="J599" t="s">
        <v>16</v>
      </c>
    </row>
    <row r="600" ht="23" customHeight="1" spans="1:10">
      <c r="A600" s="2">
        <v>599</v>
      </c>
      <c r="B600" s="3" t="s">
        <v>861</v>
      </c>
      <c r="C600" s="2" t="s">
        <v>872</v>
      </c>
      <c r="D600" s="2" t="s">
        <v>40</v>
      </c>
      <c r="E600" s="2" t="s">
        <v>20</v>
      </c>
      <c r="F600" s="2" t="s">
        <v>13</v>
      </c>
      <c r="G600" s="2" t="s">
        <v>21</v>
      </c>
      <c r="H600" s="4" t="str">
        <f>HYPERLINK("https://www.yoojia.com/article/9084522676181339220.html","https://www.yoojia.com/article/9084522676181339220.html")</f>
        <v>https://www.yoojia.com/article/9084522676181339220.html</v>
      </c>
      <c r="I600" s="3" t="s">
        <v>868</v>
      </c>
      <c r="J600" t="s">
        <v>16</v>
      </c>
    </row>
    <row r="601" ht="23" customHeight="1" spans="1:10">
      <c r="A601" s="2">
        <v>600</v>
      </c>
      <c r="B601" s="3" t="s">
        <v>861</v>
      </c>
      <c r="C601" s="2" t="s">
        <v>872</v>
      </c>
      <c r="D601" s="2" t="s">
        <v>40</v>
      </c>
      <c r="E601" s="2" t="s">
        <v>32</v>
      </c>
      <c r="F601" s="2" t="s">
        <v>13</v>
      </c>
      <c r="G601" s="2" t="s">
        <v>21</v>
      </c>
      <c r="H601" s="4" t="str">
        <f>HYPERLINK("https://www.yoojia.com/article/9428016946445932039.html","https://www.yoojia.com/article/9428016946445932039.html")</f>
        <v>https://www.yoojia.com/article/9428016946445932039.html</v>
      </c>
      <c r="I601" s="3" t="s">
        <v>868</v>
      </c>
      <c r="J601" t="s">
        <v>16</v>
      </c>
    </row>
    <row r="602" ht="23" customHeight="1" spans="1:10">
      <c r="A602" s="2">
        <v>601</v>
      </c>
      <c r="B602" s="3" t="s">
        <v>861</v>
      </c>
      <c r="C602" s="2" t="s">
        <v>872</v>
      </c>
      <c r="D602" s="2" t="s">
        <v>43</v>
      </c>
      <c r="E602" s="2" t="s">
        <v>25</v>
      </c>
      <c r="F602" s="2" t="s">
        <v>13</v>
      </c>
      <c r="G602" s="2" t="s">
        <v>21</v>
      </c>
      <c r="H602" s="4" t="str">
        <f>HYPERLINK("https://www.jfdaily.com/staticsg/res/html/web/newsDetail.html?id=985885","https://www.jfdaily.com/staticsg/res/html/web/newsDetail.html?id=985885")</f>
        <v>https://www.jfdaily.com/staticsg/res/html/web/newsDetail.html?id=985885</v>
      </c>
      <c r="I602" s="3" t="s">
        <v>863</v>
      </c>
      <c r="J602" t="s">
        <v>16</v>
      </c>
    </row>
    <row r="603" ht="23" customHeight="1" spans="1:10">
      <c r="A603" s="2">
        <v>602</v>
      </c>
      <c r="B603" s="3" t="s">
        <v>861</v>
      </c>
      <c r="C603" s="2" t="s">
        <v>872</v>
      </c>
      <c r="D603" s="2" t="s">
        <v>46</v>
      </c>
      <c r="E603" s="2" t="s">
        <v>32</v>
      </c>
      <c r="F603" s="2" t="s">
        <v>13</v>
      </c>
      <c r="G603" s="2" t="s">
        <v>21</v>
      </c>
      <c r="H603" s="4" t="str">
        <f>HYPERLINK("https://www.sohu.com/a/936701624_121286085","https://www.sohu.com/a/936701624_121286085")</f>
        <v>https://www.sohu.com/a/936701624_121286085</v>
      </c>
      <c r="I603" s="3" t="s">
        <v>863</v>
      </c>
      <c r="J603" t="s">
        <v>16</v>
      </c>
    </row>
    <row r="604" ht="23" customHeight="1" spans="1:10">
      <c r="A604" s="2">
        <v>603</v>
      </c>
      <c r="B604" s="3" t="s">
        <v>837</v>
      </c>
      <c r="C604" s="2" t="s">
        <v>875</v>
      </c>
      <c r="D604" s="2" t="s">
        <v>19</v>
      </c>
      <c r="E604" s="2" t="s">
        <v>20</v>
      </c>
      <c r="F604" s="2" t="s">
        <v>37</v>
      </c>
      <c r="G604" s="2" t="s">
        <v>21</v>
      </c>
      <c r="H604" s="4" t="str">
        <f>HYPERLINK("https://c.m.163.com/news/a/K9RM3AAD055040N3.html","https://c.m.163.com/news/a/K9RM3AAD055040N3.html")</f>
        <v>https://c.m.163.com/news/a/K9RM3AAD055040N3.html</v>
      </c>
      <c r="I604" s="3" t="s">
        <v>876</v>
      </c>
      <c r="J604" t="s">
        <v>16</v>
      </c>
    </row>
    <row r="605" ht="23" customHeight="1" spans="1:10">
      <c r="A605" s="2">
        <v>604</v>
      </c>
      <c r="B605" s="3" t="s">
        <v>837</v>
      </c>
      <c r="C605" s="2" t="s">
        <v>877</v>
      </c>
      <c r="D605" s="2" t="s">
        <v>11</v>
      </c>
      <c r="E605" s="2" t="s">
        <v>20</v>
      </c>
      <c r="F605" s="2" t="s">
        <v>13</v>
      </c>
      <c r="G605" s="2" t="s">
        <v>21</v>
      </c>
      <c r="H605" s="4" t="str">
        <f>HYPERLINK("https://www.toutiao.com/article/7551778408426947082/","https://www.toutiao.com/article/7551778408426947082/")</f>
        <v>https://www.toutiao.com/article/7551778408426947082/</v>
      </c>
      <c r="I605" s="3" t="s">
        <v>878</v>
      </c>
      <c r="J605" t="s">
        <v>16</v>
      </c>
    </row>
    <row r="606" ht="23" customHeight="1" spans="1:10">
      <c r="A606" s="2">
        <v>605</v>
      </c>
      <c r="B606" s="3" t="s">
        <v>837</v>
      </c>
      <c r="C606" s="2" t="s">
        <v>877</v>
      </c>
      <c r="D606" s="2" t="s">
        <v>29</v>
      </c>
      <c r="E606" s="2" t="s">
        <v>30</v>
      </c>
      <c r="F606" s="2" t="s">
        <v>13</v>
      </c>
      <c r="G606" s="2" t="s">
        <v>26</v>
      </c>
      <c r="H606" s="4" t="str">
        <f>HYPERLINK("https://finance.sina.cn/2025-09-19/detail-infqzuwk4809878.d.html","https://finance.sina.cn/2025-09-19/detail-infqzuwk4809878.d.html")</f>
        <v>https://finance.sina.cn/2025-09-19/detail-infqzuwk4809878.d.html</v>
      </c>
      <c r="I606" s="3" t="s">
        <v>878</v>
      </c>
      <c r="J606" t="s">
        <v>16</v>
      </c>
    </row>
    <row r="607" ht="23" customHeight="1" spans="1:10">
      <c r="A607" s="2">
        <v>606</v>
      </c>
      <c r="B607" s="3" t="s">
        <v>837</v>
      </c>
      <c r="C607" s="2" t="s">
        <v>879</v>
      </c>
      <c r="D607" s="2" t="s">
        <v>35</v>
      </c>
      <c r="E607" s="2" t="s">
        <v>20</v>
      </c>
      <c r="F607" s="2" t="s">
        <v>13</v>
      </c>
      <c r="G607" s="2" t="s">
        <v>21</v>
      </c>
      <c r="H607" s="4" t="str">
        <f>HYPERLINK("https://new.qq.com/rain/a/20250919A08HN100","https://new.qq.com/rain/a/20250919A08HN100")</f>
        <v>https://new.qq.com/rain/a/20250919A08HN100</v>
      </c>
      <c r="I607" s="3" t="s">
        <v>878</v>
      </c>
      <c r="J607" t="s">
        <v>16</v>
      </c>
    </row>
    <row r="608" ht="23" customHeight="1" spans="1:10">
      <c r="A608" s="2">
        <v>607</v>
      </c>
      <c r="B608" s="3" t="s">
        <v>837</v>
      </c>
      <c r="C608" s="2" t="s">
        <v>879</v>
      </c>
      <c r="D608" s="2" t="s">
        <v>34</v>
      </c>
      <c r="E608" s="2" t="s">
        <v>20</v>
      </c>
      <c r="F608" s="2" t="s">
        <v>13</v>
      </c>
      <c r="G608" s="2" t="s">
        <v>21</v>
      </c>
      <c r="H608" s="4" t="str">
        <f>HYPERLINK("https://kandianshare.html5.qq.com/v2/news/7912008337849221442","https://kandianshare.html5.qq.com/v2/news/7912008337849221442")</f>
        <v>https://kandianshare.html5.qq.com/v2/news/7912008337849221442</v>
      </c>
      <c r="I608" s="3" t="s">
        <v>878</v>
      </c>
      <c r="J608" t="s">
        <v>16</v>
      </c>
    </row>
    <row r="609" ht="23" customHeight="1" spans="1:10">
      <c r="A609" s="2">
        <v>608</v>
      </c>
      <c r="B609" s="3" t="s">
        <v>837</v>
      </c>
      <c r="C609" s="2" t="s">
        <v>880</v>
      </c>
      <c r="D609" s="2" t="s">
        <v>43</v>
      </c>
      <c r="E609" s="2" t="s">
        <v>881</v>
      </c>
      <c r="F609" s="2" t="s">
        <v>13</v>
      </c>
      <c r="G609" s="2" t="s">
        <v>21</v>
      </c>
      <c r="H609" s="4" t="str">
        <f>HYPERLINK("https://www.shobserver.com/staticsg/res/html/web/newsDetail.html?id=985711","https://www.shobserver.com/staticsg/res/html/web/newsDetail.html?id=985711")</f>
        <v>https://www.shobserver.com/staticsg/res/html/web/newsDetail.html?id=985711</v>
      </c>
      <c r="I609" s="3" t="s">
        <v>882</v>
      </c>
      <c r="J609" t="s">
        <v>16</v>
      </c>
    </row>
    <row r="610" ht="23" customHeight="1" spans="1:10">
      <c r="A610" s="2">
        <v>609</v>
      </c>
      <c r="B610" s="3" t="s">
        <v>837</v>
      </c>
      <c r="C610" s="2" t="s">
        <v>880</v>
      </c>
      <c r="D610" s="2" t="s">
        <v>43</v>
      </c>
      <c r="E610" s="2" t="s">
        <v>881</v>
      </c>
      <c r="F610" s="2" t="s">
        <v>13</v>
      </c>
      <c r="G610" s="2" t="s">
        <v>21</v>
      </c>
      <c r="H610" s="4" t="str">
        <f>HYPERLINK("https://www.jfdaily.com.cn/staticsg/res/html/web/newsDetail.html?id=985711","https://www.jfdaily.com.cn/staticsg/res/html/web/newsDetail.html?id=985711")</f>
        <v>https://www.jfdaily.com.cn/staticsg/res/html/web/newsDetail.html?id=985711</v>
      </c>
      <c r="I610" s="3" t="s">
        <v>878</v>
      </c>
      <c r="J610" t="s">
        <v>16</v>
      </c>
    </row>
    <row r="611" ht="23" customHeight="1" spans="1:10">
      <c r="A611" s="2">
        <v>610</v>
      </c>
      <c r="B611" s="3" t="s">
        <v>837</v>
      </c>
      <c r="C611" s="2" t="s">
        <v>880</v>
      </c>
      <c r="D611" s="2" t="s">
        <v>29</v>
      </c>
      <c r="E611" s="2" t="s">
        <v>20</v>
      </c>
      <c r="F611" s="2" t="s">
        <v>13</v>
      </c>
      <c r="G611" s="2" t="s">
        <v>21</v>
      </c>
      <c r="H611" s="4" t="str">
        <f>HYPERLINK("https://finance.sina.cn/2025-09-19/detail-infqzuwf7807713.d.html","https://finance.sina.cn/2025-09-19/detail-infqzuwf7807713.d.html")</f>
        <v>https://finance.sina.cn/2025-09-19/detail-infqzuwf7807713.d.html</v>
      </c>
      <c r="I611" s="3" t="s">
        <v>878</v>
      </c>
      <c r="J611" t="s">
        <v>16</v>
      </c>
    </row>
    <row r="612" ht="23" customHeight="1" spans="1:10">
      <c r="A612" s="2">
        <v>611</v>
      </c>
      <c r="B612" s="3" t="s">
        <v>837</v>
      </c>
      <c r="C612" s="2" t="s">
        <v>883</v>
      </c>
      <c r="D612" s="2" t="s">
        <v>43</v>
      </c>
      <c r="E612" s="2" t="s">
        <v>881</v>
      </c>
      <c r="F612" s="2" t="s">
        <v>13</v>
      </c>
      <c r="G612" s="2" t="s">
        <v>21</v>
      </c>
      <c r="H612" s="4" t="str">
        <f>HYPERLINK("https://www.jfdaily.com/staticsg/res/html/web/newsDetail.html?id=985711","https://www.jfdaily.com/staticsg/res/html/web/newsDetail.html?id=985711")</f>
        <v>https://www.jfdaily.com/staticsg/res/html/web/newsDetail.html?id=985711</v>
      </c>
      <c r="I612" s="3" t="s">
        <v>878</v>
      </c>
      <c r="J612" t="s">
        <v>16</v>
      </c>
    </row>
    <row r="613" ht="23" customHeight="1" spans="1:10">
      <c r="A613" s="2">
        <v>612</v>
      </c>
      <c r="B613" s="3" t="s">
        <v>837</v>
      </c>
      <c r="C613" s="2" t="s">
        <v>883</v>
      </c>
      <c r="D613" s="2" t="s">
        <v>40</v>
      </c>
      <c r="E613" s="2" t="s">
        <v>20</v>
      </c>
      <c r="F613" s="2" t="s">
        <v>13</v>
      </c>
      <c r="G613" s="2" t="s">
        <v>21</v>
      </c>
      <c r="H613" s="4" t="str">
        <f>HYPERLINK("https://www.yoojia.com/article/9888003069030919900.html","https://www.yoojia.com/article/9888003069030919900.html")</f>
        <v>https://www.yoojia.com/article/9888003069030919900.html</v>
      </c>
      <c r="I613" s="3" t="s">
        <v>878</v>
      </c>
      <c r="J613" t="s">
        <v>16</v>
      </c>
    </row>
    <row r="614" ht="23" customHeight="1" spans="1:10">
      <c r="A614" s="2">
        <v>613</v>
      </c>
      <c r="B614" s="3" t="s">
        <v>837</v>
      </c>
      <c r="C614" s="2" t="s">
        <v>883</v>
      </c>
      <c r="D614" s="2" t="s">
        <v>41</v>
      </c>
      <c r="E614" s="2" t="s">
        <v>20</v>
      </c>
      <c r="F614" s="2" t="s">
        <v>13</v>
      </c>
      <c r="G614" s="2" t="s">
        <v>21</v>
      </c>
      <c r="H614" s="4" t="str">
        <f>HYPERLINK("https://mbd.baidu.com/newspage/data/landingshare?nid=news_9888003069030919900","https://mbd.baidu.com/newspage/data/landingshare?nid=news_9888003069030919900")</f>
        <v>https://mbd.baidu.com/newspage/data/landingshare?nid=news_9888003069030919900</v>
      </c>
      <c r="I614" s="3" t="s">
        <v>878</v>
      </c>
      <c r="J614" t="s">
        <v>16</v>
      </c>
    </row>
    <row r="615" ht="23" customHeight="1" spans="1:10">
      <c r="A615" s="2">
        <v>614</v>
      </c>
      <c r="B615" s="3" t="s">
        <v>837</v>
      </c>
      <c r="C615" s="2" t="s">
        <v>883</v>
      </c>
      <c r="D615" s="2" t="s">
        <v>20</v>
      </c>
      <c r="E615" s="2" t="s">
        <v>881</v>
      </c>
      <c r="F615" s="2" t="s">
        <v>37</v>
      </c>
      <c r="G615" s="2" t="s">
        <v>21</v>
      </c>
      <c r="H615" s="4" t="str">
        <f>HYPERLINK("https://services.shobserver.com/news/viewNewsDetail?id=985711","https://services.shobserver.com/news/viewNewsDetail?id=985711")</f>
        <v>https://services.shobserver.com/news/viewNewsDetail?id=985711</v>
      </c>
      <c r="I615" s="3" t="s">
        <v>882</v>
      </c>
      <c r="J615" t="s">
        <v>16</v>
      </c>
    </row>
    <row r="616" ht="23" customHeight="1" spans="1:10">
      <c r="A616" s="2">
        <v>615</v>
      </c>
      <c r="B616" s="3" t="s">
        <v>833</v>
      </c>
      <c r="C616" s="2" t="s">
        <v>884</v>
      </c>
      <c r="D616" s="2" t="s">
        <v>71</v>
      </c>
      <c r="E616" s="2" t="s">
        <v>71</v>
      </c>
      <c r="F616" s="2" t="s">
        <v>37</v>
      </c>
      <c r="G616" s="2" t="s">
        <v>21</v>
      </c>
      <c r="H616" s="4" t="str">
        <f>HYPERLINK("https://j.021east.com/m/1758273971043107","https://j.021east.com/m/1758273971043107")</f>
        <v>https://j.021east.com/m/1758273971043107</v>
      </c>
      <c r="I616" s="3" t="s">
        <v>835</v>
      </c>
      <c r="J616" t="s">
        <v>16</v>
      </c>
    </row>
    <row r="617" ht="23" customHeight="1" spans="1:10">
      <c r="A617" s="2">
        <v>616</v>
      </c>
      <c r="B617" s="3" t="s">
        <v>885</v>
      </c>
      <c r="C617" s="2" t="s">
        <v>886</v>
      </c>
      <c r="D617" s="2" t="s">
        <v>40</v>
      </c>
      <c r="E617" s="2" t="s">
        <v>20</v>
      </c>
      <c r="F617" s="2" t="s">
        <v>13</v>
      </c>
      <c r="G617" s="2" t="s">
        <v>21</v>
      </c>
      <c r="H617" s="4" t="str">
        <f>HYPERLINK("https://www.yoojia.com/article/10231740644707671249.html","https://www.yoojia.com/article/10231740644707671249.html")</f>
        <v>https://www.yoojia.com/article/10231740644707671249.html</v>
      </c>
      <c r="I617" s="3" t="s">
        <v>887</v>
      </c>
      <c r="J617" t="s">
        <v>16</v>
      </c>
    </row>
    <row r="618" ht="23" customHeight="1" spans="1:10">
      <c r="A618" s="2">
        <v>617</v>
      </c>
      <c r="B618" s="3" t="s">
        <v>885</v>
      </c>
      <c r="C618" s="2" t="s">
        <v>886</v>
      </c>
      <c r="D618" s="2" t="s">
        <v>41</v>
      </c>
      <c r="E618" s="2" t="s">
        <v>20</v>
      </c>
      <c r="F618" s="2" t="s">
        <v>13</v>
      </c>
      <c r="G618" s="2" t="s">
        <v>21</v>
      </c>
      <c r="H618" s="4" t="str">
        <f>HYPERLINK("https://mbd.baidu.com/newspage/data/landingshare?nid=news_10231740644707671249","https://mbd.baidu.com/newspage/data/landingshare?nid=news_10231740644707671249")</f>
        <v>https://mbd.baidu.com/newspage/data/landingshare?nid=news_10231740644707671249</v>
      </c>
      <c r="I618" s="3" t="s">
        <v>887</v>
      </c>
      <c r="J618" t="s">
        <v>16</v>
      </c>
    </row>
    <row r="619" ht="23" customHeight="1" spans="1:10">
      <c r="A619" s="2">
        <v>618</v>
      </c>
      <c r="B619" s="3" t="s">
        <v>885</v>
      </c>
      <c r="C619" s="2" t="s">
        <v>888</v>
      </c>
      <c r="D619" s="2" t="s">
        <v>46</v>
      </c>
      <c r="E619" s="2" t="s">
        <v>618</v>
      </c>
      <c r="F619" s="2" t="s">
        <v>37</v>
      </c>
      <c r="G619" s="2" t="s">
        <v>26</v>
      </c>
      <c r="H619" s="4" t="str">
        <f>HYPERLINK("https://3g.k.sohu.com/t/n930192285?serialId=bb82372a76a044f9a0c8d8885976d251&amp;showType=930192285","https://3g.k.sohu.com/t/n930192285?serialId=bb82372a76a044f9a0c8d8885976d251&amp;showType=930192285")</f>
        <v>https://3g.k.sohu.com/t/n930192285?serialId=bb82372a76a044f9a0c8d8885976d251&amp;showType=930192285</v>
      </c>
      <c r="I619" s="3" t="s">
        <v>889</v>
      </c>
      <c r="J619" t="s">
        <v>16</v>
      </c>
    </row>
    <row r="620" ht="23" customHeight="1" spans="1:10">
      <c r="A620" s="2">
        <v>619</v>
      </c>
      <c r="B620" s="3" t="s">
        <v>890</v>
      </c>
      <c r="C620" s="2" t="s">
        <v>891</v>
      </c>
      <c r="D620" s="2" t="s">
        <v>327</v>
      </c>
      <c r="E620" s="2" t="s">
        <v>892</v>
      </c>
      <c r="F620" s="2" t="s">
        <v>37</v>
      </c>
      <c r="G620" s="2" t="s">
        <v>26</v>
      </c>
      <c r="H620" s="4" t="str">
        <f>HYPERLINK("https://static.dingxinwen.com/dd-sharepage/detail/index.html?id=145BD4E744BB4572#/","https://static.dingxinwen.com/dd-sharepage/detail/index.html?id=145BD4E744BB4572#/")</f>
        <v>https://static.dingxinwen.com/dd-sharepage/detail/index.html?id=145BD4E744BB4572#/</v>
      </c>
      <c r="I620" s="3" t="s">
        <v>893</v>
      </c>
      <c r="J620" t="s">
        <v>16</v>
      </c>
    </row>
    <row r="621" ht="23" customHeight="1" spans="1:10">
      <c r="A621" s="2">
        <v>620</v>
      </c>
      <c r="B621" s="3" t="s">
        <v>894</v>
      </c>
      <c r="C621" s="2" t="s">
        <v>895</v>
      </c>
      <c r="D621" s="2" t="s">
        <v>40</v>
      </c>
      <c r="E621" s="2" t="s">
        <v>126</v>
      </c>
      <c r="F621" s="2" t="s">
        <v>13</v>
      </c>
      <c r="G621" s="2" t="s">
        <v>21</v>
      </c>
      <c r="H621" s="4" t="str">
        <f>HYPERLINK("https://www.yoojia.com/article/9173768368545574471.html","https://www.yoojia.com/article/9173768368545574471.html")</f>
        <v>https://www.yoojia.com/article/9173768368545574471.html</v>
      </c>
      <c r="I621" s="3" t="s">
        <v>896</v>
      </c>
      <c r="J621" t="s">
        <v>16</v>
      </c>
    </row>
    <row r="622" ht="23" customHeight="1" spans="1:10">
      <c r="A622" s="2">
        <v>621</v>
      </c>
      <c r="B622" s="3" t="s">
        <v>894</v>
      </c>
      <c r="C622" s="2" t="s">
        <v>895</v>
      </c>
      <c r="D622" s="2" t="s">
        <v>41</v>
      </c>
      <c r="E622" s="2" t="s">
        <v>126</v>
      </c>
      <c r="F622" s="2" t="s">
        <v>13</v>
      </c>
      <c r="G622" s="2" t="s">
        <v>21</v>
      </c>
      <c r="H622" s="4" t="str">
        <f>HYPERLINK("https://mbd.baidu.com/newspage/data/landingshare?nid=news_9173768368545574471","https://mbd.baidu.com/newspage/data/landingshare?nid=news_9173768368545574471")</f>
        <v>https://mbd.baidu.com/newspage/data/landingshare?nid=news_9173768368545574471</v>
      </c>
      <c r="I622" s="3" t="s">
        <v>896</v>
      </c>
      <c r="J622" t="s">
        <v>16</v>
      </c>
    </row>
    <row r="623" ht="23" customHeight="1" spans="1:10">
      <c r="A623" s="2">
        <v>622</v>
      </c>
      <c r="B623" s="3" t="s">
        <v>894</v>
      </c>
      <c r="C623" s="2" t="s">
        <v>897</v>
      </c>
      <c r="D623" s="2" t="s">
        <v>334</v>
      </c>
      <c r="E623" s="2" t="s">
        <v>334</v>
      </c>
      <c r="F623" s="2" t="s">
        <v>37</v>
      </c>
      <c r="G623" s="2" t="s">
        <v>26</v>
      </c>
      <c r="H623" s="4" t="str">
        <f>HYPERLINK("https://j.021east.com/m/1757145818040708","https://j.021east.com/m/1757145818040708")</f>
        <v>https://j.021east.com/m/1757145818040708</v>
      </c>
      <c r="I623" s="3" t="s">
        <v>896</v>
      </c>
      <c r="J623" t="s">
        <v>16</v>
      </c>
    </row>
    <row r="624" ht="23" customHeight="1" spans="1:10">
      <c r="A624" s="2">
        <v>623</v>
      </c>
      <c r="B624" s="3" t="s">
        <v>898</v>
      </c>
      <c r="C624" s="2" t="s">
        <v>899</v>
      </c>
      <c r="D624" s="2" t="s">
        <v>41</v>
      </c>
      <c r="E624" s="2" t="s">
        <v>20</v>
      </c>
      <c r="F624" s="2" t="s">
        <v>13</v>
      </c>
      <c r="G624" s="2" t="s">
        <v>21</v>
      </c>
      <c r="H624" s="4" t="str">
        <f>HYPERLINK("https://mbd.baidu.com/newspage/data/landingshare?nid=news_9733222673831335859","https://mbd.baidu.com/newspage/data/landingshare?nid=news_9733222673831335859")</f>
        <v>https://mbd.baidu.com/newspage/data/landingshare?nid=news_9733222673831335859</v>
      </c>
      <c r="I624" s="3" t="s">
        <v>900</v>
      </c>
      <c r="J624" t="s">
        <v>16</v>
      </c>
    </row>
    <row r="625" ht="23" customHeight="1" spans="1:10">
      <c r="A625" s="2">
        <v>624</v>
      </c>
      <c r="B625" s="3" t="s">
        <v>898</v>
      </c>
      <c r="C625" s="2" t="s">
        <v>899</v>
      </c>
      <c r="D625" s="2" t="s">
        <v>40</v>
      </c>
      <c r="E625" s="2" t="s">
        <v>20</v>
      </c>
      <c r="F625" s="2" t="s">
        <v>13</v>
      </c>
      <c r="G625" s="2" t="s">
        <v>21</v>
      </c>
      <c r="H625" s="4" t="str">
        <f>HYPERLINK("https://www.yoojia.com/article/9733222673831335859.html","https://www.yoojia.com/article/9733222673831335859.html")</f>
        <v>https://www.yoojia.com/article/9733222673831335859.html</v>
      </c>
      <c r="I625" s="3" t="s">
        <v>900</v>
      </c>
      <c r="J625" t="s">
        <v>16</v>
      </c>
    </row>
    <row r="626" ht="23" customHeight="1" spans="1:10">
      <c r="A626" s="2">
        <v>625</v>
      </c>
      <c r="B626" s="3" t="s">
        <v>898</v>
      </c>
      <c r="C626" s="2" t="s">
        <v>901</v>
      </c>
      <c r="D626" s="2" t="s">
        <v>46</v>
      </c>
      <c r="E626" s="2" t="s">
        <v>618</v>
      </c>
      <c r="F626" s="2" t="s">
        <v>37</v>
      </c>
      <c r="G626" s="2" t="s">
        <v>26</v>
      </c>
      <c r="H626" s="4" t="str">
        <f>HYPERLINK("https://3g.k.sohu.com/t/n925993885?serialId=90b3dec5dfe9ba2a8f22e862b6d51cc5&amp;showType=925993885","https://3g.k.sohu.com/t/n925993885?serialId=90b3dec5dfe9ba2a8f22e862b6d51cc5&amp;showType=925993885")</f>
        <v>https://3g.k.sohu.com/t/n925993885?serialId=90b3dec5dfe9ba2a8f22e862b6d51cc5&amp;showType=925993885</v>
      </c>
      <c r="I626" s="3" t="s">
        <v>902</v>
      </c>
      <c r="J626" t="s">
        <v>16</v>
      </c>
    </row>
    <row r="627" ht="23" customHeight="1" spans="1:10">
      <c r="A627" s="2">
        <v>626</v>
      </c>
      <c r="B627" s="3" t="s">
        <v>903</v>
      </c>
      <c r="C627" s="2" t="s">
        <v>904</v>
      </c>
      <c r="D627" s="2" t="s">
        <v>19</v>
      </c>
      <c r="E627" s="2" t="s">
        <v>200</v>
      </c>
      <c r="F627" s="2" t="s">
        <v>37</v>
      </c>
      <c r="G627" s="2" t="s">
        <v>26</v>
      </c>
      <c r="H627" s="4" t="str">
        <f>HYPERLINK("https://c.m.163.com/news/a/K8HBPG2P05268MTU.html","https://c.m.163.com/news/a/K8HBPG2P05268MTU.html")</f>
        <v>https://c.m.163.com/news/a/K8HBPG2P05268MTU.html</v>
      </c>
      <c r="I627" s="3" t="s">
        <v>905</v>
      </c>
      <c r="J627" t="s">
        <v>16</v>
      </c>
    </row>
    <row r="628" ht="23" customHeight="1" spans="1:10">
      <c r="A628" s="2">
        <v>627</v>
      </c>
      <c r="B628" s="3" t="s">
        <v>903</v>
      </c>
      <c r="C628" s="2" t="s">
        <v>906</v>
      </c>
      <c r="D628" s="2" t="s">
        <v>200</v>
      </c>
      <c r="E628" s="2" t="s">
        <v>200</v>
      </c>
      <c r="F628" s="2" t="s">
        <v>13</v>
      </c>
      <c r="G628" s="2" t="s">
        <v>201</v>
      </c>
      <c r="H628" s="4" t="str">
        <f>HYPERLINK("https://www.eol.cn/news/yaowen/202509/t20250903_2687947.shtml","https://www.eol.cn/news/yaowen/202509/t20250903_2687947.shtml")</f>
        <v>https://www.eol.cn/news/yaowen/202509/t20250903_2687947.shtml</v>
      </c>
      <c r="I628" s="3" t="s">
        <v>907</v>
      </c>
      <c r="J628" t="s">
        <v>16</v>
      </c>
    </row>
    <row r="629" ht="23" customHeight="1" spans="1:10">
      <c r="A629" s="2">
        <v>628</v>
      </c>
      <c r="B629" s="3" t="s">
        <v>903</v>
      </c>
      <c r="C629" s="2" t="s">
        <v>906</v>
      </c>
      <c r="D629" s="2" t="s">
        <v>200</v>
      </c>
      <c r="E629" s="2" t="s">
        <v>200</v>
      </c>
      <c r="F629" s="2" t="s">
        <v>13</v>
      </c>
      <c r="G629" s="2" t="s">
        <v>201</v>
      </c>
      <c r="H629" s="4" t="str">
        <f>HYPERLINK("https://news.eol.cn/yaowen/202509/t20250903_2687947.shtml","https://news.eol.cn/yaowen/202509/t20250903_2687947.shtml")</f>
        <v>https://news.eol.cn/yaowen/202509/t20250903_2687947.shtml</v>
      </c>
      <c r="I629" s="3" t="s">
        <v>907</v>
      </c>
      <c r="J629" t="s">
        <v>16</v>
      </c>
    </row>
    <row r="630" ht="23" customHeight="1" spans="1:10">
      <c r="A630" s="2">
        <v>629</v>
      </c>
      <c r="B630" s="3" t="s">
        <v>908</v>
      </c>
      <c r="C630" s="2" t="s">
        <v>909</v>
      </c>
      <c r="D630" s="2" t="s">
        <v>317</v>
      </c>
      <c r="E630" s="2" t="s">
        <v>317</v>
      </c>
      <c r="F630" s="2" t="s">
        <v>13</v>
      </c>
      <c r="G630" s="2" t="s">
        <v>201</v>
      </c>
      <c r="H630" s="4" t="str">
        <f>HYPERLINK("https://finance.jrj.com.cn/2025/09/02183352872265.shtml","https://finance.jrj.com.cn/2025/09/02183352872265.shtml")</f>
        <v>https://finance.jrj.com.cn/2025/09/02183352872265.shtml</v>
      </c>
      <c r="I630" s="3" t="s">
        <v>910</v>
      </c>
      <c r="J630" t="s">
        <v>16</v>
      </c>
    </row>
    <row r="631" ht="23" customHeight="1" spans="1:10">
      <c r="A631" s="2">
        <v>630</v>
      </c>
      <c r="B631" s="3" t="s">
        <v>908</v>
      </c>
      <c r="C631" s="2" t="s">
        <v>909</v>
      </c>
      <c r="D631" s="2" t="s">
        <v>317</v>
      </c>
      <c r="E631" s="2" t="s">
        <v>317</v>
      </c>
      <c r="F631" s="2" t="s">
        <v>37</v>
      </c>
      <c r="G631" s="2" t="s">
        <v>201</v>
      </c>
      <c r="H631" s="4" t="str">
        <f>HYPERLINK("https://m.jrj.com.cn/madapter/finance/2025/09/02183352872265.shtml","https://m.jrj.com.cn/madapter/finance/2025/09/02183352872265.shtml")</f>
        <v>https://m.jrj.com.cn/madapter/finance/2025/09/02183352872265.shtml</v>
      </c>
      <c r="I631" s="3" t="s">
        <v>910</v>
      </c>
      <c r="J631" t="s">
        <v>16</v>
      </c>
    </row>
    <row r="632" ht="23" customHeight="1" spans="1:10">
      <c r="A632" s="2">
        <v>631</v>
      </c>
      <c r="B632" s="3" t="s">
        <v>911</v>
      </c>
      <c r="C632" s="2" t="s">
        <v>912</v>
      </c>
      <c r="D632" s="2" t="s">
        <v>913</v>
      </c>
      <c r="E632" s="2" t="s">
        <v>913</v>
      </c>
      <c r="F632" s="2" t="s">
        <v>13</v>
      </c>
      <c r="G632" s="2" t="s">
        <v>14</v>
      </c>
      <c r="H632" s="4" t="str">
        <f>HYPERLINK("http://hs.china.com.cn/2025-08/29/content_43216444.html","http://hs.china.com.cn/2025-08/29/content_43216444.html")</f>
        <v>http://hs.china.com.cn/2025-08/29/content_43216444.html</v>
      </c>
      <c r="I632" s="3" t="s">
        <v>914</v>
      </c>
      <c r="J632" t="s">
        <v>16</v>
      </c>
    </row>
    <row r="633" ht="23" customHeight="1" spans="1:10">
      <c r="A633" s="2">
        <v>632</v>
      </c>
      <c r="B633" s="3" t="s">
        <v>915</v>
      </c>
      <c r="C633" s="2" t="s">
        <v>916</v>
      </c>
      <c r="D633" s="2" t="s">
        <v>327</v>
      </c>
      <c r="E633" s="2" t="s">
        <v>917</v>
      </c>
      <c r="F633" s="2" t="s">
        <v>37</v>
      </c>
      <c r="G633" s="2" t="s">
        <v>26</v>
      </c>
      <c r="H633" s="4" t="str">
        <f>HYPERLINK("https://static.dingxinwen.com/dd-sharepage/detail/index.html?id=145BD6E149B84D72#/","https://static.dingxinwen.com/dd-sharepage/detail/index.html?id=145BD6E149B84D72#/")</f>
        <v>https://static.dingxinwen.com/dd-sharepage/detail/index.html?id=145BD6E149B84D72#/</v>
      </c>
      <c r="I633" s="3" t="s">
        <v>918</v>
      </c>
      <c r="J633" t="s">
        <v>16</v>
      </c>
    </row>
    <row r="634" ht="23" customHeight="1" spans="1:10">
      <c r="A634" s="2">
        <v>633</v>
      </c>
      <c r="B634" s="3" t="s">
        <v>919</v>
      </c>
      <c r="C634" s="2" t="s">
        <v>920</v>
      </c>
      <c r="D634" s="2" t="s">
        <v>327</v>
      </c>
      <c r="E634" s="2" t="s">
        <v>921</v>
      </c>
      <c r="F634" s="2" t="s">
        <v>37</v>
      </c>
      <c r="G634" s="2" t="s">
        <v>26</v>
      </c>
      <c r="H634" s="4" t="str">
        <f>HYPERLINK("https://static.dingxinwen.com/dd-sharepage/detail/index.html?id=145BD6E148B14979#/","https://static.dingxinwen.com/dd-sharepage/detail/index.html?id=145BD6E148B14979#/")</f>
        <v>https://static.dingxinwen.com/dd-sharepage/detail/index.html?id=145BD6E148B14979#/</v>
      </c>
      <c r="I634" s="3" t="s">
        <v>922</v>
      </c>
      <c r="J634" t="s">
        <v>16</v>
      </c>
    </row>
    <row r="635" ht="23" customHeight="1" spans="1:10">
      <c r="A635" s="2">
        <v>634</v>
      </c>
      <c r="B635" s="3" t="s">
        <v>923</v>
      </c>
      <c r="C635" s="2" t="s">
        <v>924</v>
      </c>
      <c r="D635" s="2" t="s">
        <v>176</v>
      </c>
      <c r="E635" s="2" t="s">
        <v>925</v>
      </c>
      <c r="F635" s="2" t="s">
        <v>37</v>
      </c>
      <c r="G635" s="2" t="s">
        <v>14</v>
      </c>
      <c r="H635" s="4" t="str">
        <f>HYPERLINK("https://xhpfmapi.zhongguowangshi.com/vh512/share/12705778","https://xhpfmapi.zhongguowangshi.com/vh512/share/12705778")</f>
        <v>https://xhpfmapi.zhongguowangshi.com/vh512/share/12705778</v>
      </c>
      <c r="I635" s="3" t="s">
        <v>926</v>
      </c>
      <c r="J635" t="s">
        <v>16</v>
      </c>
    </row>
    <row r="636" ht="23" customHeight="1" spans="1:10">
      <c r="A636" s="2">
        <v>635</v>
      </c>
      <c r="B636" s="3" t="s">
        <v>927</v>
      </c>
      <c r="C636" s="2" t="s">
        <v>928</v>
      </c>
      <c r="D636" s="2" t="s">
        <v>19</v>
      </c>
      <c r="E636" s="2" t="s">
        <v>20</v>
      </c>
      <c r="F636" s="2" t="s">
        <v>37</v>
      </c>
      <c r="G636" s="2" t="s">
        <v>21</v>
      </c>
      <c r="H636" s="4" t="str">
        <f>HYPERLINK("https://c.m.163.com/news/a/K7QJVE8Q055040N3.html","https://c.m.163.com/news/a/K7QJVE8Q055040N3.html")</f>
        <v>https://c.m.163.com/news/a/K7QJVE8Q055040N3.html</v>
      </c>
      <c r="I636" s="3" t="s">
        <v>929</v>
      </c>
      <c r="J636" t="s">
        <v>16</v>
      </c>
    </row>
    <row r="637" ht="23" customHeight="1" spans="1:10">
      <c r="A637" s="2">
        <v>636</v>
      </c>
      <c r="B637" s="3" t="s">
        <v>927</v>
      </c>
      <c r="C637" s="2" t="s">
        <v>930</v>
      </c>
      <c r="D637" s="2" t="s">
        <v>19</v>
      </c>
      <c r="E637" s="2" t="s">
        <v>115</v>
      </c>
      <c r="F637" s="2" t="s">
        <v>37</v>
      </c>
      <c r="G637" s="2" t="s">
        <v>26</v>
      </c>
      <c r="H637" s="4" t="str">
        <f>HYPERLINK("https://c.m.163.com/news/a/K7QH8D6205568W0A.html","https://c.m.163.com/news/a/K7QH8D6205568W0A.html")</f>
        <v>https://c.m.163.com/news/a/K7QH8D6205568W0A.html</v>
      </c>
      <c r="I637" s="3" t="s">
        <v>929</v>
      </c>
      <c r="J637" t="s">
        <v>16</v>
      </c>
    </row>
    <row r="638" ht="23" customHeight="1" spans="1:10">
      <c r="A638" s="2">
        <v>637</v>
      </c>
      <c r="B638" s="3" t="s">
        <v>927</v>
      </c>
      <c r="C638" s="2" t="s">
        <v>931</v>
      </c>
      <c r="D638" s="2" t="s">
        <v>11</v>
      </c>
      <c r="E638" s="2" t="s">
        <v>32</v>
      </c>
      <c r="F638" s="2" t="s">
        <v>13</v>
      </c>
      <c r="G638" s="2" t="s">
        <v>21</v>
      </c>
      <c r="H638" s="4" t="str">
        <f>HYPERLINK("https://www.toutiao.com/article/7542397978091274795/","https://www.toutiao.com/article/7542397978091274795/")</f>
        <v>https://www.toutiao.com/article/7542397978091274795/</v>
      </c>
      <c r="I638" s="3" t="s">
        <v>932</v>
      </c>
      <c r="J638" t="s">
        <v>16</v>
      </c>
    </row>
    <row r="639" ht="23" customHeight="1" spans="1:10">
      <c r="A639" s="2">
        <v>638</v>
      </c>
      <c r="B639" s="3" t="s">
        <v>927</v>
      </c>
      <c r="C639" s="2" t="s">
        <v>933</v>
      </c>
      <c r="D639" s="2" t="s">
        <v>11</v>
      </c>
      <c r="E639" s="2" t="s">
        <v>20</v>
      </c>
      <c r="F639" s="2" t="s">
        <v>13</v>
      </c>
      <c r="G639" s="2" t="s">
        <v>21</v>
      </c>
      <c r="H639" s="4" t="str">
        <f>HYPERLINK("https://www.toutiao.com/article/7542395566665073167/","https://www.toutiao.com/article/7542395566665073167/")</f>
        <v>https://www.toutiao.com/article/7542395566665073167/</v>
      </c>
      <c r="I639" s="3" t="s">
        <v>932</v>
      </c>
      <c r="J639" t="s">
        <v>16</v>
      </c>
    </row>
    <row r="640" ht="23" customHeight="1" spans="1:10">
      <c r="A640" s="2">
        <v>639</v>
      </c>
      <c r="B640" s="3" t="s">
        <v>927</v>
      </c>
      <c r="C640" s="2" t="s">
        <v>933</v>
      </c>
      <c r="D640" s="2" t="s">
        <v>29</v>
      </c>
      <c r="E640" s="2" t="s">
        <v>30</v>
      </c>
      <c r="F640" s="2" t="s">
        <v>13</v>
      </c>
      <c r="G640" s="2" t="s">
        <v>26</v>
      </c>
      <c r="H640" s="4" t="str">
        <f>HYPERLINK("https://finance.sina.cn/2025-08-25/detail-infnemzf3936435.d.html","https://finance.sina.cn/2025-08-25/detail-infnemzf3936435.d.html")</f>
        <v>https://finance.sina.cn/2025-08-25/detail-infnemzf3936435.d.html</v>
      </c>
      <c r="I640" s="3" t="s">
        <v>929</v>
      </c>
      <c r="J640" t="s">
        <v>16</v>
      </c>
    </row>
    <row r="641" ht="23" customHeight="1" spans="1:10">
      <c r="A641" s="2">
        <v>640</v>
      </c>
      <c r="B641" s="3" t="s">
        <v>927</v>
      </c>
      <c r="C641" s="2" t="s">
        <v>934</v>
      </c>
      <c r="D641" s="2" t="s">
        <v>35</v>
      </c>
      <c r="E641" s="2" t="s">
        <v>32</v>
      </c>
      <c r="F641" s="2" t="s">
        <v>13</v>
      </c>
      <c r="G641" s="2" t="s">
        <v>21</v>
      </c>
      <c r="H641" s="4" t="str">
        <f>HYPERLINK("https://new.qq.com/rain/a/20250825A04OHZ00","https://new.qq.com/rain/a/20250825A04OHZ00")</f>
        <v>https://new.qq.com/rain/a/20250825A04OHZ00</v>
      </c>
      <c r="I641" s="3" t="s">
        <v>929</v>
      </c>
      <c r="J641" t="s">
        <v>16</v>
      </c>
    </row>
    <row r="642" ht="23" customHeight="1" spans="1:10">
      <c r="A642" s="2">
        <v>641</v>
      </c>
      <c r="B642" s="3" t="s">
        <v>927</v>
      </c>
      <c r="C642" s="2" t="s">
        <v>935</v>
      </c>
      <c r="D642" s="2" t="s">
        <v>35</v>
      </c>
      <c r="E642" s="2" t="s">
        <v>20</v>
      </c>
      <c r="F642" s="2" t="s">
        <v>13</v>
      </c>
      <c r="G642" s="2" t="s">
        <v>21</v>
      </c>
      <c r="H642" s="4" t="str">
        <f>HYPERLINK("https://new.qq.com/rain/a/20250825A04O5500","https://new.qq.com/rain/a/20250825A04O5500")</f>
        <v>https://new.qq.com/rain/a/20250825A04O5500</v>
      </c>
      <c r="I642" s="3" t="s">
        <v>929</v>
      </c>
      <c r="J642" t="s">
        <v>16</v>
      </c>
    </row>
    <row r="643" ht="23" customHeight="1" spans="1:10">
      <c r="A643" s="2">
        <v>642</v>
      </c>
      <c r="B643" s="3" t="s">
        <v>927</v>
      </c>
      <c r="C643" s="2" t="s">
        <v>936</v>
      </c>
      <c r="D643" s="2" t="s">
        <v>937</v>
      </c>
      <c r="E643" s="2" t="s">
        <v>20</v>
      </c>
      <c r="F643" s="2" t="s">
        <v>37</v>
      </c>
      <c r="G643" s="2" t="s">
        <v>21</v>
      </c>
      <c r="H643" s="4" t="s">
        <v>938</v>
      </c>
      <c r="I643" s="3" t="s">
        <v>929</v>
      </c>
      <c r="J643" t="s">
        <v>16</v>
      </c>
    </row>
    <row r="644" ht="23" customHeight="1" spans="1:10">
      <c r="A644" s="2">
        <v>643</v>
      </c>
      <c r="B644" s="3" t="s">
        <v>927</v>
      </c>
      <c r="C644" s="2" t="s">
        <v>939</v>
      </c>
      <c r="D644" s="2" t="s">
        <v>43</v>
      </c>
      <c r="E644" s="2" t="s">
        <v>940</v>
      </c>
      <c r="F644" s="2" t="s">
        <v>13</v>
      </c>
      <c r="G644" s="2" t="s">
        <v>21</v>
      </c>
      <c r="H644" s="4" t="str">
        <f>HYPERLINK("https://www.jfdaily.com.cn/staticsg/res/html/web/newsDetail.html?id=970512","https://www.jfdaily.com.cn/staticsg/res/html/web/newsDetail.html?id=970512")</f>
        <v>https://www.jfdaily.com.cn/staticsg/res/html/web/newsDetail.html?id=970512</v>
      </c>
      <c r="I644" s="3" t="s">
        <v>929</v>
      </c>
      <c r="J644" t="s">
        <v>16</v>
      </c>
    </row>
    <row r="645" ht="23" customHeight="1" spans="1:10">
      <c r="A645" s="2">
        <v>644</v>
      </c>
      <c r="B645" s="3" t="s">
        <v>927</v>
      </c>
      <c r="C645" s="2" t="s">
        <v>941</v>
      </c>
      <c r="D645" s="2" t="s">
        <v>43</v>
      </c>
      <c r="E645" s="2" t="s">
        <v>940</v>
      </c>
      <c r="F645" s="2" t="s">
        <v>13</v>
      </c>
      <c r="G645" s="2" t="s">
        <v>21</v>
      </c>
      <c r="H645" s="4" t="str">
        <f>HYPERLINK("https://www.jfdaily.com/staticsg/res/html/web/newsDetail.html?id=970512","https://www.jfdaily.com/staticsg/res/html/web/newsDetail.html?id=970512")</f>
        <v>https://www.jfdaily.com/staticsg/res/html/web/newsDetail.html?id=970512</v>
      </c>
      <c r="I645" s="3" t="s">
        <v>929</v>
      </c>
      <c r="J645" t="s">
        <v>16</v>
      </c>
    </row>
    <row r="646" ht="23" customHeight="1" spans="1:10">
      <c r="A646" s="2">
        <v>645</v>
      </c>
      <c r="B646" s="3" t="s">
        <v>927</v>
      </c>
      <c r="C646" s="2" t="s">
        <v>941</v>
      </c>
      <c r="D646" s="2" t="s">
        <v>41</v>
      </c>
      <c r="E646" s="2" t="s">
        <v>20</v>
      </c>
      <c r="F646" s="2" t="s">
        <v>13</v>
      </c>
      <c r="G646" s="2" t="s">
        <v>21</v>
      </c>
      <c r="H646" s="4" t="str">
        <f>HYPERLINK("https://mbd.baidu.com/newspage/data/landingshare?nid=news_9126875876900001609","https://mbd.baidu.com/newspage/data/landingshare?nid=news_9126875876900001609")</f>
        <v>https://mbd.baidu.com/newspage/data/landingshare?nid=news_9126875876900001609</v>
      </c>
      <c r="I646" s="3" t="s">
        <v>932</v>
      </c>
      <c r="J646" t="s">
        <v>16</v>
      </c>
    </row>
    <row r="647" ht="23" customHeight="1" spans="1:10">
      <c r="A647" s="2">
        <v>646</v>
      </c>
      <c r="B647" s="3" t="s">
        <v>927</v>
      </c>
      <c r="C647" s="2" t="s">
        <v>941</v>
      </c>
      <c r="D647" s="2" t="s">
        <v>40</v>
      </c>
      <c r="E647" s="2" t="s">
        <v>20</v>
      </c>
      <c r="F647" s="2" t="s">
        <v>13</v>
      </c>
      <c r="G647" s="2" t="s">
        <v>21</v>
      </c>
      <c r="H647" s="4" t="str">
        <f>HYPERLINK("https://www.yoojia.com/article/9126875876900001609.html","https://www.yoojia.com/article/9126875876900001609.html")</f>
        <v>https://www.yoojia.com/article/9126875876900001609.html</v>
      </c>
      <c r="I647" s="3" t="s">
        <v>932</v>
      </c>
      <c r="J647" t="s">
        <v>16</v>
      </c>
    </row>
    <row r="648" ht="23" customHeight="1" spans="1:10">
      <c r="A648" s="2">
        <v>647</v>
      </c>
      <c r="B648" s="3" t="s">
        <v>927</v>
      </c>
      <c r="C648" s="2" t="s">
        <v>941</v>
      </c>
      <c r="D648" s="2" t="s">
        <v>40</v>
      </c>
      <c r="E648" s="2" t="s">
        <v>32</v>
      </c>
      <c r="F648" s="2" t="s">
        <v>13</v>
      </c>
      <c r="G648" s="2" t="s">
        <v>21</v>
      </c>
      <c r="H648" s="4" t="str">
        <f>HYPERLINK("https://www.yoojia.com/article/9293370052158324177.html","https://www.yoojia.com/article/9293370052158324177.html")</f>
        <v>https://www.yoojia.com/article/9293370052158324177.html</v>
      </c>
      <c r="I648" s="3" t="s">
        <v>932</v>
      </c>
      <c r="J648" t="s">
        <v>16</v>
      </c>
    </row>
    <row r="649" ht="23" customHeight="1" spans="1:10">
      <c r="A649" s="2">
        <v>648</v>
      </c>
      <c r="B649" s="3" t="s">
        <v>927</v>
      </c>
      <c r="C649" s="2" t="s">
        <v>941</v>
      </c>
      <c r="D649" s="2" t="s">
        <v>46</v>
      </c>
      <c r="E649" s="2" t="s">
        <v>32</v>
      </c>
      <c r="F649" s="2" t="s">
        <v>13</v>
      </c>
      <c r="G649" s="2" t="s">
        <v>21</v>
      </c>
      <c r="H649" s="4" t="str">
        <f>HYPERLINK("https://www.sohu.com/a/927667092_121286085","https://www.sohu.com/a/927667092_121286085")</f>
        <v>https://www.sohu.com/a/927667092_121286085</v>
      </c>
      <c r="I649" s="3" t="s">
        <v>929</v>
      </c>
      <c r="J649" t="s">
        <v>16</v>
      </c>
    </row>
    <row r="650" ht="23" customHeight="1" spans="1:10">
      <c r="A650" s="2">
        <v>649</v>
      </c>
      <c r="B650" s="3" t="s">
        <v>927</v>
      </c>
      <c r="C650" s="2" t="s">
        <v>941</v>
      </c>
      <c r="D650" s="2" t="s">
        <v>41</v>
      </c>
      <c r="E650" s="2" t="s">
        <v>32</v>
      </c>
      <c r="F650" s="2" t="s">
        <v>13</v>
      </c>
      <c r="G650" s="2" t="s">
        <v>21</v>
      </c>
      <c r="H650" s="4" t="str">
        <f>HYPERLINK("https://mbd.baidu.com/newspage/data/landingshare?nid=news_9293370052158324177","https://mbd.baidu.com/newspage/data/landingshare?nid=news_9293370052158324177")</f>
        <v>https://mbd.baidu.com/newspage/data/landingshare?nid=news_9293370052158324177</v>
      </c>
      <c r="I650" s="3" t="s">
        <v>932</v>
      </c>
      <c r="J650" t="s">
        <v>16</v>
      </c>
    </row>
    <row r="651" ht="23" customHeight="1" spans="1:10">
      <c r="A651" s="2">
        <v>650</v>
      </c>
      <c r="B651" s="3" t="s">
        <v>927</v>
      </c>
      <c r="C651" s="2" t="s">
        <v>941</v>
      </c>
      <c r="D651" s="2" t="s">
        <v>46</v>
      </c>
      <c r="E651" s="2" t="s">
        <v>32</v>
      </c>
      <c r="F651" s="2" t="s">
        <v>37</v>
      </c>
      <c r="G651" s="2" t="s">
        <v>21</v>
      </c>
      <c r="H651" s="4" t="str">
        <f>HYPERLINK("https://3g.k.sohu.com/t/n922581595?serialId=ab68a3ec9ab9ae0f7c8630d353293d27&amp;showType=922581595","https://3g.k.sohu.com/t/n922581595?serialId=ab68a3ec9ab9ae0f7c8630d353293d27&amp;showType=922581595")</f>
        <v>https://3g.k.sohu.com/t/n922581595?serialId=ab68a3ec9ab9ae0f7c8630d353293d27&amp;showType=922581595</v>
      </c>
      <c r="I651" s="3" t="s">
        <v>929</v>
      </c>
      <c r="J651" t="s">
        <v>16</v>
      </c>
    </row>
    <row r="652" ht="23" customHeight="1" spans="1:10">
      <c r="A652" s="2">
        <v>651</v>
      </c>
      <c r="B652" s="3" t="s">
        <v>942</v>
      </c>
      <c r="C652" s="2" t="s">
        <v>943</v>
      </c>
      <c r="D652" s="2" t="s">
        <v>46</v>
      </c>
      <c r="E652" s="2" t="s">
        <v>618</v>
      </c>
      <c r="F652" s="2" t="s">
        <v>37</v>
      </c>
      <c r="G652" s="2" t="s">
        <v>26</v>
      </c>
      <c r="H652" s="4" t="str">
        <f>HYPERLINK("https://3g.k.sohu.com/t/n921333475?serialId=aa711378dfa0f04f8b93624d11679d0e&amp;showType=921333475","https://3g.k.sohu.com/t/n921333475?serialId=aa711378dfa0f04f8b93624d11679d0e&amp;showType=921333475")</f>
        <v>https://3g.k.sohu.com/t/n921333475?serialId=aa711378dfa0f04f8b93624d11679d0e&amp;showType=921333475</v>
      </c>
      <c r="I652" s="3" t="s">
        <v>944</v>
      </c>
      <c r="J652" t="s">
        <v>16</v>
      </c>
    </row>
    <row r="653" ht="23" customHeight="1" spans="1:10">
      <c r="A653" s="2">
        <v>652</v>
      </c>
      <c r="B653" s="3" t="s">
        <v>945</v>
      </c>
      <c r="C653" s="2" t="s">
        <v>946</v>
      </c>
      <c r="D653" s="2" t="s">
        <v>947</v>
      </c>
      <c r="E653" s="2" t="s">
        <v>947</v>
      </c>
      <c r="F653" s="2" t="s">
        <v>37</v>
      </c>
      <c r="G653" s="2" t="s">
        <v>26</v>
      </c>
      <c r="H653" s="4" t="str">
        <f>HYPERLINK("https://wap.yzwb.net/wap/news/4704577.html","https://wap.yzwb.net/wap/news/4704577.html")</f>
        <v>https://wap.yzwb.net/wap/news/4704577.html</v>
      </c>
      <c r="I653" s="3" t="s">
        <v>948</v>
      </c>
      <c r="J653" t="s">
        <v>16</v>
      </c>
    </row>
    <row r="654" ht="23" customHeight="1" spans="1:10">
      <c r="A654" s="2">
        <v>653</v>
      </c>
      <c r="B654" s="3" t="s">
        <v>945</v>
      </c>
      <c r="C654" s="2" t="s">
        <v>949</v>
      </c>
      <c r="D654" s="2" t="s">
        <v>950</v>
      </c>
      <c r="E654" s="2" t="s">
        <v>950</v>
      </c>
      <c r="F654" s="2" t="s">
        <v>13</v>
      </c>
      <c r="G654" s="2" t="s">
        <v>21</v>
      </c>
      <c r="H654" s="4" t="str">
        <f>HYPERLINK("http://www.yzwb.net/news/jiangsu/nanjing/202508/t20250821_253044.html","http://www.yzwb.net/news/jiangsu/nanjing/202508/t20250821_253044.html")</f>
        <v>http://www.yzwb.net/news/jiangsu/nanjing/202508/t20250821_253044.html</v>
      </c>
      <c r="I654" s="3" t="s">
        <v>948</v>
      </c>
      <c r="J654" t="s">
        <v>16</v>
      </c>
    </row>
    <row r="655" ht="23" customHeight="1" spans="1:10">
      <c r="A655" s="2">
        <v>654</v>
      </c>
      <c r="B655" s="3" t="s">
        <v>945</v>
      </c>
      <c r="C655" s="2" t="s">
        <v>949</v>
      </c>
      <c r="D655" s="2" t="s">
        <v>950</v>
      </c>
      <c r="E655" s="2" t="s">
        <v>950</v>
      </c>
      <c r="F655" s="2" t="s">
        <v>13</v>
      </c>
      <c r="G655" s="2" t="s">
        <v>21</v>
      </c>
      <c r="H655" s="4" t="str">
        <f>HYPERLINK("https://www.yangtse.com/news/jiangsu/nanjing/202508/t20250821_253044.html","https://www.yangtse.com/news/jiangsu/nanjing/202508/t20250821_253044.html")</f>
        <v>https://www.yangtse.com/news/jiangsu/nanjing/202508/t20250821_253044.html</v>
      </c>
      <c r="I655" s="3" t="s">
        <v>948</v>
      </c>
      <c r="J655" t="s">
        <v>16</v>
      </c>
    </row>
    <row r="656" ht="23" customHeight="1" spans="1:10">
      <c r="A656" s="2">
        <v>655</v>
      </c>
      <c r="B656" s="3" t="s">
        <v>951</v>
      </c>
      <c r="C656" s="2" t="s">
        <v>952</v>
      </c>
      <c r="D656" s="2" t="s">
        <v>953</v>
      </c>
      <c r="E656" s="2" t="s">
        <v>953</v>
      </c>
      <c r="F656" s="2" t="s">
        <v>13</v>
      </c>
      <c r="G656" s="2" t="s">
        <v>21</v>
      </c>
      <c r="H656" s="4" t="str">
        <f>HYPERLINK("http://finance.eastday.com/eastday/finance1/Business/node3/u1ai1374789.html","http://finance.eastday.com/eastday/finance1/Business/node3/u1ai1374789.html")</f>
        <v>http://finance.eastday.com/eastday/finance1/Business/node3/u1ai1374789.html</v>
      </c>
      <c r="I656" s="3" t="s">
        <v>954</v>
      </c>
      <c r="J656" t="s">
        <v>16</v>
      </c>
    </row>
    <row r="657" ht="23" customHeight="1" spans="1:10">
      <c r="A657" s="2">
        <v>656</v>
      </c>
      <c r="B657" s="3" t="s">
        <v>955</v>
      </c>
      <c r="C657" s="2" t="s">
        <v>956</v>
      </c>
      <c r="D657" s="2" t="s">
        <v>46</v>
      </c>
      <c r="E657" s="2" t="s">
        <v>957</v>
      </c>
      <c r="F657" s="2" t="s">
        <v>37</v>
      </c>
      <c r="G657" s="2" t="s">
        <v>26</v>
      </c>
      <c r="H657" s="4" t="str">
        <f>HYPERLINK("https://3g.k.sohu.com/t/n921087083?serialId=9ab567d6cfc06329085be47e0290074d&amp;showType=921087083","https://3g.k.sohu.com/t/n921087083?serialId=9ab567d6cfc06329085be47e0290074d&amp;showType=921087083")</f>
        <v>https://3g.k.sohu.com/t/n921087083?serialId=9ab567d6cfc06329085be47e0290074d&amp;showType=921087083</v>
      </c>
      <c r="I657" s="3" t="s">
        <v>948</v>
      </c>
      <c r="J657" t="s">
        <v>16</v>
      </c>
    </row>
    <row r="658" ht="23" customHeight="1" spans="1:10">
      <c r="A658" s="2">
        <v>657</v>
      </c>
      <c r="B658" s="3" t="s">
        <v>945</v>
      </c>
      <c r="C658" s="2" t="s">
        <v>958</v>
      </c>
      <c r="D658" s="2" t="s">
        <v>11</v>
      </c>
      <c r="E658" s="2" t="s">
        <v>126</v>
      </c>
      <c r="F658" s="2" t="s">
        <v>13</v>
      </c>
      <c r="G658" s="2" t="s">
        <v>21</v>
      </c>
      <c r="H658" s="4" t="str">
        <f>HYPERLINK("https://www.toutiao.com/article/7540764752277029412/","https://www.toutiao.com/article/7540764752277029412/")</f>
        <v>https://www.toutiao.com/article/7540764752277029412/</v>
      </c>
      <c r="I658" s="3" t="s">
        <v>959</v>
      </c>
      <c r="J658" t="s">
        <v>16</v>
      </c>
    </row>
    <row r="659" ht="23" customHeight="1" spans="1:10">
      <c r="A659" s="2">
        <v>658</v>
      </c>
      <c r="B659" s="3" t="s">
        <v>945</v>
      </c>
      <c r="C659" s="2" t="s">
        <v>960</v>
      </c>
      <c r="D659" s="2" t="s">
        <v>40</v>
      </c>
      <c r="E659" s="2" t="s">
        <v>126</v>
      </c>
      <c r="F659" s="2" t="s">
        <v>13</v>
      </c>
      <c r="G659" s="2" t="s">
        <v>21</v>
      </c>
      <c r="H659" s="4" t="str">
        <f>HYPERLINK("https://www.yoojia.com/article/8935741156445766481.html","https://www.yoojia.com/article/8935741156445766481.html")</f>
        <v>https://www.yoojia.com/article/8935741156445766481.html</v>
      </c>
      <c r="I659" s="3" t="s">
        <v>959</v>
      </c>
      <c r="J659" t="s">
        <v>16</v>
      </c>
    </row>
    <row r="660" ht="23" customHeight="1" spans="1:10">
      <c r="A660" s="2">
        <v>659</v>
      </c>
      <c r="B660" s="3" t="s">
        <v>945</v>
      </c>
      <c r="C660" s="2" t="s">
        <v>960</v>
      </c>
      <c r="D660" s="2" t="s">
        <v>41</v>
      </c>
      <c r="E660" s="2" t="s">
        <v>126</v>
      </c>
      <c r="F660" s="2" t="s">
        <v>13</v>
      </c>
      <c r="G660" s="2" t="s">
        <v>21</v>
      </c>
      <c r="H660" s="4" t="str">
        <f>HYPERLINK("https://mbd.baidu.com/newspage/data/landingshare?nid=news_8935741156445766481","https://mbd.baidu.com/newspage/data/landingshare?nid=news_8935741156445766481")</f>
        <v>https://mbd.baidu.com/newspage/data/landingshare?nid=news_8935741156445766481</v>
      </c>
      <c r="I660" s="3" t="s">
        <v>959</v>
      </c>
      <c r="J660" t="s">
        <v>16</v>
      </c>
    </row>
    <row r="661" ht="23" customHeight="1" spans="1:10">
      <c r="A661" s="2">
        <v>660</v>
      </c>
      <c r="B661" s="3" t="s">
        <v>961</v>
      </c>
      <c r="C661" s="2" t="s">
        <v>962</v>
      </c>
      <c r="D661" s="2" t="s">
        <v>963</v>
      </c>
      <c r="E661" s="2" t="s">
        <v>963</v>
      </c>
      <c r="F661" s="2" t="s">
        <v>13</v>
      </c>
      <c r="G661" s="2" t="s">
        <v>21</v>
      </c>
      <c r="H661" s="4" t="str">
        <f>HYPERLINK("https://www.nxnews.net/zt/24n/nxsy/24gqdt/202508/t20250812_1286482.html","https://www.nxnews.net/zt/24n/nxsy/24gqdt/202508/t20250812_1286482.html")</f>
        <v>https://www.nxnews.net/zt/24n/nxsy/24gqdt/202508/t20250812_1286482.html</v>
      </c>
      <c r="I661" s="3" t="s">
        <v>964</v>
      </c>
      <c r="J661" t="s">
        <v>16</v>
      </c>
    </row>
    <row r="662" ht="23" customHeight="1" spans="1:10">
      <c r="A662" s="2">
        <v>661</v>
      </c>
      <c r="B662" s="3" t="s">
        <v>965</v>
      </c>
      <c r="C662" s="2" t="s">
        <v>966</v>
      </c>
      <c r="D662" s="2" t="s">
        <v>334</v>
      </c>
      <c r="E662" s="2" t="s">
        <v>334</v>
      </c>
      <c r="F662" s="2" t="s">
        <v>37</v>
      </c>
      <c r="G662" s="2" t="s">
        <v>26</v>
      </c>
      <c r="H662" s="4" t="str">
        <f>HYPERLINK("https://j.021east.com/m/1754809328041199","https://j.021east.com/m/1754809328041199")</f>
        <v>https://j.021east.com/m/1754809328041199</v>
      </c>
      <c r="I662" s="3" t="s">
        <v>967</v>
      </c>
      <c r="J662" t="s">
        <v>16</v>
      </c>
    </row>
    <row r="663" ht="23" customHeight="1" spans="1:10">
      <c r="A663" s="2">
        <v>662</v>
      </c>
      <c r="B663" s="3" t="s">
        <v>968</v>
      </c>
      <c r="C663" s="2" t="s">
        <v>969</v>
      </c>
      <c r="D663" s="2" t="s">
        <v>970</v>
      </c>
      <c r="E663" s="2" t="s">
        <v>970</v>
      </c>
      <c r="F663" s="2" t="s">
        <v>13</v>
      </c>
      <c r="G663" s="2" t="s">
        <v>21</v>
      </c>
      <c r="H663" s="4" t="str">
        <f>HYPERLINK("https://www.hndnews.com/p/720579.html","https://www.hndnews.com/p/720579.html")</f>
        <v>https://www.hndnews.com/p/720579.html</v>
      </c>
      <c r="I663" s="3" t="s">
        <v>971</v>
      </c>
      <c r="J663" t="s">
        <v>16</v>
      </c>
    </row>
    <row r="664" ht="23" customHeight="1" spans="1:10">
      <c r="A664" s="2">
        <v>663</v>
      </c>
      <c r="B664" s="3" t="s">
        <v>961</v>
      </c>
      <c r="C664" s="2" t="s">
        <v>972</v>
      </c>
      <c r="D664" s="2" t="s">
        <v>963</v>
      </c>
      <c r="E664" s="2" t="s">
        <v>963</v>
      </c>
      <c r="F664" s="2" t="s">
        <v>13</v>
      </c>
      <c r="G664" s="2" t="s">
        <v>21</v>
      </c>
      <c r="H664" s="4" t="str">
        <f>HYPERLINK("https://www.nxnews.net/yc/jrww/202508/t20250809_1284718.html","https://www.nxnews.net/yc/jrww/202508/t20250809_1284718.html")</f>
        <v>https://www.nxnews.net/yc/jrww/202508/t20250809_1284718.html</v>
      </c>
      <c r="I664" s="3" t="s">
        <v>964</v>
      </c>
      <c r="J664" t="s">
        <v>16</v>
      </c>
    </row>
    <row r="665" ht="23" customHeight="1" spans="1:10">
      <c r="A665" s="2">
        <v>664</v>
      </c>
      <c r="B665" s="3" t="s">
        <v>973</v>
      </c>
      <c r="C665" s="2" t="s">
        <v>974</v>
      </c>
      <c r="D665" s="2" t="s">
        <v>107</v>
      </c>
      <c r="E665" s="2" t="s">
        <v>975</v>
      </c>
      <c r="F665" s="2" t="s">
        <v>13</v>
      </c>
      <c r="G665" s="2" t="s">
        <v>26</v>
      </c>
      <c r="H665" s="4" t="str">
        <f>HYPERLINK("https://k.sina.cn/article_1704103183_65928d0f0200916dm.html","https://k.sina.cn/article_1704103183_65928d0f0200916dm.html")</f>
        <v>https://k.sina.cn/article_1704103183_65928d0f0200916dm.html</v>
      </c>
      <c r="I665" s="3" t="s">
        <v>976</v>
      </c>
      <c r="J665" t="s">
        <v>16</v>
      </c>
    </row>
    <row r="666" ht="23" customHeight="1" spans="1:10">
      <c r="A666" s="2">
        <v>665</v>
      </c>
      <c r="B666" s="3" t="s">
        <v>973</v>
      </c>
      <c r="C666" s="2" t="s">
        <v>977</v>
      </c>
      <c r="D666" s="2" t="s">
        <v>19</v>
      </c>
      <c r="E666" s="2" t="s">
        <v>317</v>
      </c>
      <c r="F666" s="2" t="s">
        <v>37</v>
      </c>
      <c r="G666" s="2" t="s">
        <v>26</v>
      </c>
      <c r="H666" s="4" t="str">
        <f>HYPERLINK("https://c.m.163.com/news/a/K6EIIJ120519QIKK.html","https://c.m.163.com/news/a/K6EIIJ120519QIKK.html")</f>
        <v>https://c.m.163.com/news/a/K6EIIJ120519QIKK.html</v>
      </c>
      <c r="I666" s="3" t="s">
        <v>976</v>
      </c>
      <c r="J666" t="s">
        <v>16</v>
      </c>
    </row>
    <row r="667" ht="23" customHeight="1" spans="1:10">
      <c r="A667" s="2">
        <v>666</v>
      </c>
      <c r="B667" s="3" t="s">
        <v>973</v>
      </c>
      <c r="C667" s="2" t="s">
        <v>978</v>
      </c>
      <c r="D667" s="2" t="s">
        <v>11</v>
      </c>
      <c r="E667" s="2" t="s">
        <v>317</v>
      </c>
      <c r="F667" s="2" t="s">
        <v>13</v>
      </c>
      <c r="G667" s="2" t="s">
        <v>201</v>
      </c>
      <c r="H667" s="4" t="str">
        <f>HYPERLINK("https://www.toutiao.com/article/7536062356820918827/","https://www.toutiao.com/article/7536062356820918827/")</f>
        <v>https://www.toutiao.com/article/7536062356820918827/</v>
      </c>
      <c r="I667" s="3" t="s">
        <v>976</v>
      </c>
      <c r="J667" t="s">
        <v>16</v>
      </c>
    </row>
    <row r="668" ht="23" customHeight="1" spans="1:10">
      <c r="A668" s="2">
        <v>667</v>
      </c>
      <c r="B668" s="3" t="s">
        <v>973</v>
      </c>
      <c r="C668" s="2" t="s">
        <v>979</v>
      </c>
      <c r="D668" s="2" t="s">
        <v>317</v>
      </c>
      <c r="E668" s="2" t="s">
        <v>317</v>
      </c>
      <c r="F668" s="2" t="s">
        <v>13</v>
      </c>
      <c r="G668" s="2" t="s">
        <v>201</v>
      </c>
      <c r="H668" s="4" t="str">
        <f>HYPERLINK("https://m.jrj.com.cn/madapter/finance/2025/08/08120252292183.shtml","https://m.jrj.com.cn/madapter/finance/2025/08/08120252292183.shtml")</f>
        <v>https://m.jrj.com.cn/madapter/finance/2025/08/08120252292183.shtml</v>
      </c>
      <c r="I668" s="3" t="s">
        <v>976</v>
      </c>
      <c r="J668" t="s">
        <v>16</v>
      </c>
    </row>
    <row r="669" ht="23" customHeight="1" spans="1:10">
      <c r="A669" s="2">
        <v>668</v>
      </c>
      <c r="B669" s="3" t="s">
        <v>973</v>
      </c>
      <c r="C669" s="2" t="s">
        <v>979</v>
      </c>
      <c r="D669" s="2" t="s">
        <v>317</v>
      </c>
      <c r="E669" s="2" t="s">
        <v>980</v>
      </c>
      <c r="F669" s="2" t="s">
        <v>13</v>
      </c>
      <c r="G669" s="2" t="s">
        <v>26</v>
      </c>
      <c r="H669" s="4" t="str">
        <f>HYPERLINK("https://finance.jrj.com.cn/2025/08/08120252292183.shtml","https://finance.jrj.com.cn/2025/08/08120252292183.shtml")</f>
        <v>https://finance.jrj.com.cn/2025/08/08120252292183.shtml</v>
      </c>
      <c r="I669" s="3" t="s">
        <v>976</v>
      </c>
      <c r="J669" t="s">
        <v>16</v>
      </c>
    </row>
    <row r="670" ht="23" customHeight="1" spans="1:10">
      <c r="A670" s="2">
        <v>669</v>
      </c>
      <c r="B670" s="3" t="s">
        <v>973</v>
      </c>
      <c r="C670" s="2" t="s">
        <v>981</v>
      </c>
      <c r="D670" s="2" t="s">
        <v>46</v>
      </c>
      <c r="E670" s="2" t="s">
        <v>317</v>
      </c>
      <c r="F670" s="2" t="s">
        <v>37</v>
      </c>
      <c r="G670" s="2" t="s">
        <v>201</v>
      </c>
      <c r="H670" s="4" t="str">
        <f>HYPERLINK("https://3g.k.sohu.com/t/n917032788?serialId=5a3ecf4d5d1ca33a169c3c521792dc09&amp;showType=917032788","https://3g.k.sohu.com/t/n917032788?serialId=5a3ecf4d5d1ca33a169c3c521792dc09&amp;showType=917032788")</f>
        <v>https://3g.k.sohu.com/t/n917032788?serialId=5a3ecf4d5d1ca33a169c3c521792dc09&amp;showType=917032788</v>
      </c>
      <c r="I670" s="3" t="s">
        <v>976</v>
      </c>
      <c r="J670" t="s">
        <v>16</v>
      </c>
    </row>
    <row r="671" ht="23" customHeight="1" spans="1:10">
      <c r="A671" s="2">
        <v>670</v>
      </c>
      <c r="B671" s="3" t="s">
        <v>973</v>
      </c>
      <c r="C671" s="2" t="s">
        <v>981</v>
      </c>
      <c r="D671" s="2" t="s">
        <v>491</v>
      </c>
      <c r="E671" s="2" t="s">
        <v>317</v>
      </c>
      <c r="F671" s="2" t="s">
        <v>13</v>
      </c>
      <c r="G671" s="2" t="s">
        <v>201</v>
      </c>
      <c r="H671" s="4" t="str">
        <f>HYPERLINK("https://ishare.ifeng.com/c/s/8leHaMtmBFm","https://ishare.ifeng.com/c/s/8leHaMtmBFm")</f>
        <v>https://ishare.ifeng.com/c/s/8leHaMtmBFm</v>
      </c>
      <c r="I671" s="3" t="s">
        <v>976</v>
      </c>
      <c r="J671" t="s">
        <v>16</v>
      </c>
    </row>
    <row r="672" ht="23" customHeight="1" spans="1:10">
      <c r="A672" s="2">
        <v>671</v>
      </c>
      <c r="B672" s="3" t="s">
        <v>973</v>
      </c>
      <c r="C672" s="2" t="s">
        <v>981</v>
      </c>
      <c r="D672" s="2" t="s">
        <v>46</v>
      </c>
      <c r="E672" s="2" t="s">
        <v>317</v>
      </c>
      <c r="F672" s="2" t="s">
        <v>13</v>
      </c>
      <c r="G672" s="2" t="s">
        <v>201</v>
      </c>
      <c r="H672" s="4" t="str">
        <f>HYPERLINK("https://www.sohu.com/a/922042223_114984","https://www.sohu.com/a/922042223_114984")</f>
        <v>https://www.sohu.com/a/922042223_114984</v>
      </c>
      <c r="I672" s="3" t="s">
        <v>976</v>
      </c>
      <c r="J672" t="s">
        <v>16</v>
      </c>
    </row>
    <row r="673" ht="23" customHeight="1" spans="1:10">
      <c r="A673" s="2">
        <v>672</v>
      </c>
      <c r="B673" s="3" t="s">
        <v>982</v>
      </c>
      <c r="C673" s="2" t="s">
        <v>983</v>
      </c>
      <c r="D673" s="2" t="s">
        <v>19</v>
      </c>
      <c r="E673" s="2" t="s">
        <v>200</v>
      </c>
      <c r="F673" s="2" t="s">
        <v>37</v>
      </c>
      <c r="G673" s="2" t="s">
        <v>26</v>
      </c>
      <c r="H673" s="4" t="str">
        <f>HYPERLINK("https://c.m.163.com/news/a/K6EDE42R05268MTU.html","https://c.m.163.com/news/a/K6EDE42R05268MTU.html")</f>
        <v>https://c.m.163.com/news/a/K6EDE42R05268MTU.html</v>
      </c>
      <c r="I673" s="3" t="s">
        <v>984</v>
      </c>
      <c r="J673" t="s">
        <v>16</v>
      </c>
    </row>
    <row r="674" ht="23" customHeight="1" spans="1:10">
      <c r="A674" s="2">
        <v>673</v>
      </c>
      <c r="B674" s="3" t="s">
        <v>982</v>
      </c>
      <c r="C674" s="2" t="s">
        <v>985</v>
      </c>
      <c r="D674" s="2" t="s">
        <v>200</v>
      </c>
      <c r="E674" s="2" t="s">
        <v>200</v>
      </c>
      <c r="F674" s="2" t="s">
        <v>13</v>
      </c>
      <c r="G674" s="2" t="s">
        <v>201</v>
      </c>
      <c r="H674" s="4" t="str">
        <f>HYPERLINK("https://news.eol.cn/yaowen/202508/t20250808_2684953.shtml","https://news.eol.cn/yaowen/202508/t20250808_2684953.shtml")</f>
        <v>https://news.eol.cn/yaowen/202508/t20250808_2684953.shtml</v>
      </c>
      <c r="I674" s="3" t="s">
        <v>984</v>
      </c>
      <c r="J674" t="s">
        <v>16</v>
      </c>
    </row>
    <row r="675" ht="23" customHeight="1" spans="1:10">
      <c r="A675" s="2">
        <v>674</v>
      </c>
      <c r="B675" s="3" t="s">
        <v>982</v>
      </c>
      <c r="C675" s="2" t="s">
        <v>985</v>
      </c>
      <c r="D675" s="2" t="s">
        <v>200</v>
      </c>
      <c r="E675" s="2" t="s">
        <v>200</v>
      </c>
      <c r="F675" s="2" t="s">
        <v>13</v>
      </c>
      <c r="G675" s="2" t="s">
        <v>201</v>
      </c>
      <c r="H675" s="4" t="str">
        <f>HYPERLINK("https://www.eol.cn/news/yaowen/202508/t20250808_2684953.shtml","https://www.eol.cn/news/yaowen/202508/t20250808_2684953.shtml")</f>
        <v>https://www.eol.cn/news/yaowen/202508/t20250808_2684953.shtml</v>
      </c>
      <c r="I675" s="3" t="s">
        <v>984</v>
      </c>
      <c r="J675" t="s">
        <v>16</v>
      </c>
    </row>
    <row r="676" ht="23" customHeight="1" spans="1:10">
      <c r="A676" s="2">
        <v>675</v>
      </c>
      <c r="B676" s="3" t="s">
        <v>986</v>
      </c>
      <c r="C676" s="2" t="s">
        <v>987</v>
      </c>
      <c r="D676" s="2" t="s">
        <v>379</v>
      </c>
      <c r="E676" s="2" t="s">
        <v>371</v>
      </c>
      <c r="F676" s="2" t="s">
        <v>13</v>
      </c>
      <c r="G676" s="2" t="s">
        <v>14</v>
      </c>
      <c r="H676" s="4" t="str">
        <f>HYPERLINK("http://www.yidianzixun.com/article/12cGQ2BW","http://www.yidianzixun.com/article/12cGQ2BW")</f>
        <v>http://www.yidianzixun.com/article/12cGQ2BW</v>
      </c>
      <c r="I676" s="3" t="s">
        <v>988</v>
      </c>
      <c r="J676" t="s">
        <v>16</v>
      </c>
    </row>
    <row r="677" ht="23" customHeight="1" spans="1:10">
      <c r="A677" s="2">
        <v>676</v>
      </c>
      <c r="B677" s="3" t="s">
        <v>986</v>
      </c>
      <c r="C677" s="2" t="s">
        <v>989</v>
      </c>
      <c r="D677" s="2" t="s">
        <v>574</v>
      </c>
      <c r="E677" s="2" t="s">
        <v>574</v>
      </c>
      <c r="F677" s="2" t="s">
        <v>37</v>
      </c>
      <c r="G677" s="2" t="s">
        <v>14</v>
      </c>
      <c r="H677" s="4" t="str">
        <f>HYPERLINK("http://gmym.gmw.cn/detail/38202678/","http://gmym.gmw.cn/detail/38202678/")</f>
        <v>http://gmym.gmw.cn/detail/38202678/</v>
      </c>
      <c r="I677" s="3" t="s">
        <v>990</v>
      </c>
      <c r="J677" t="s">
        <v>16</v>
      </c>
    </row>
    <row r="678" ht="23" customHeight="1" spans="1:10">
      <c r="A678" s="2">
        <v>677</v>
      </c>
      <c r="B678" s="3" t="s">
        <v>986</v>
      </c>
      <c r="C678" s="2" t="s">
        <v>989</v>
      </c>
      <c r="D678" s="2" t="s">
        <v>991</v>
      </c>
      <c r="E678" s="2" t="s">
        <v>991</v>
      </c>
      <c r="F678" s="2" t="s">
        <v>13</v>
      </c>
      <c r="G678" s="2" t="s">
        <v>14</v>
      </c>
      <c r="H678" s="4" t="str">
        <f>HYPERLINK("https://share.gmw.cn/economy/2025-08/06/content_38202678.htm","https://share.gmw.cn/economy/2025-08/06/content_38202678.htm")</f>
        <v>https://share.gmw.cn/economy/2025-08/06/content_38202678.htm</v>
      </c>
      <c r="I678" s="3" t="s">
        <v>990</v>
      </c>
      <c r="J678" t="s">
        <v>16</v>
      </c>
    </row>
    <row r="679" ht="23" customHeight="1" spans="1:10">
      <c r="A679" s="2">
        <v>678</v>
      </c>
      <c r="B679" s="3" t="s">
        <v>992</v>
      </c>
      <c r="C679" s="2" t="s">
        <v>993</v>
      </c>
      <c r="D679" s="2" t="s">
        <v>11</v>
      </c>
      <c r="E679" s="2" t="s">
        <v>994</v>
      </c>
      <c r="F679" s="2" t="s">
        <v>13</v>
      </c>
      <c r="G679" s="2" t="s">
        <v>26</v>
      </c>
      <c r="H679" s="4" t="str">
        <f>HYPERLINK("https://www.toutiao.com/article/7535316065232945704/","https://www.toutiao.com/article/7535316065232945704/")</f>
        <v>https://www.toutiao.com/article/7535316065232945704/</v>
      </c>
      <c r="I679" s="3" t="s">
        <v>995</v>
      </c>
      <c r="J679" t="s">
        <v>16</v>
      </c>
    </row>
    <row r="680" ht="23" customHeight="1" spans="1:10">
      <c r="A680" s="2">
        <v>679</v>
      </c>
      <c r="B680" s="3" t="s">
        <v>992</v>
      </c>
      <c r="C680" s="2" t="s">
        <v>996</v>
      </c>
      <c r="D680" s="2" t="s">
        <v>41</v>
      </c>
      <c r="E680" s="2" t="s">
        <v>997</v>
      </c>
      <c r="F680" s="2" t="s">
        <v>13</v>
      </c>
      <c r="G680" s="2" t="s">
        <v>26</v>
      </c>
      <c r="H680" s="4" t="str">
        <f>HYPERLINK("https://mbd.baidu.com/newspage/data/landingshare?nid=news_10078746200221092147","https://mbd.baidu.com/newspage/data/landingshare?nid=news_10078746200221092147")</f>
        <v>https://mbd.baidu.com/newspage/data/landingshare?nid=news_10078746200221092147</v>
      </c>
      <c r="I680" s="3" t="s">
        <v>995</v>
      </c>
      <c r="J680" t="s">
        <v>16</v>
      </c>
    </row>
    <row r="681" ht="23" customHeight="1" spans="1:10">
      <c r="A681" s="2">
        <v>680</v>
      </c>
      <c r="B681" s="3" t="s">
        <v>998</v>
      </c>
      <c r="C681" s="2" t="s">
        <v>999</v>
      </c>
      <c r="D681" s="2" t="s">
        <v>35</v>
      </c>
      <c r="E681" s="2" t="s">
        <v>98</v>
      </c>
      <c r="F681" s="2" t="s">
        <v>13</v>
      </c>
      <c r="G681" s="2" t="s">
        <v>14</v>
      </c>
      <c r="H681" s="4" t="str">
        <f>HYPERLINK("https://new.qq.com/rain/a/20250805A08E5100","https://new.qq.com/rain/a/20250805A08E5100")</f>
        <v>https://new.qq.com/rain/a/20250805A08E5100</v>
      </c>
      <c r="I681" s="3" t="s">
        <v>1000</v>
      </c>
      <c r="J681" t="s">
        <v>16</v>
      </c>
    </row>
    <row r="682" ht="23" customHeight="1" spans="1:10">
      <c r="A682" s="2">
        <v>681</v>
      </c>
      <c r="B682" s="3" t="s">
        <v>998</v>
      </c>
      <c r="C682" s="2" t="s">
        <v>999</v>
      </c>
      <c r="D682" s="2" t="s">
        <v>34</v>
      </c>
      <c r="E682" s="2" t="s">
        <v>98</v>
      </c>
      <c r="F682" s="2" t="s">
        <v>13</v>
      </c>
      <c r="G682" s="2" t="s">
        <v>14</v>
      </c>
      <c r="H682" s="4" t="str">
        <f>HYPERLINK("https://kandianshare.html5.qq.com/v2/news/859363164311404866","https://kandianshare.html5.qq.com/v2/news/859363164311404866")</f>
        <v>https://kandianshare.html5.qq.com/v2/news/859363164311404866</v>
      </c>
      <c r="I682" s="3" t="s">
        <v>1000</v>
      </c>
      <c r="J682" t="s">
        <v>16</v>
      </c>
    </row>
    <row r="683" ht="23" customHeight="1" spans="1:10">
      <c r="A683" s="2">
        <v>682</v>
      </c>
      <c r="B683" s="3" t="s">
        <v>998</v>
      </c>
      <c r="C683" s="2" t="s">
        <v>1001</v>
      </c>
      <c r="D683" s="2" t="s">
        <v>40</v>
      </c>
      <c r="E683" s="2" t="s">
        <v>98</v>
      </c>
      <c r="F683" s="2" t="s">
        <v>13</v>
      </c>
      <c r="G683" s="2" t="s">
        <v>14</v>
      </c>
      <c r="H683" s="4" t="str">
        <f>HYPERLINK("https://www.yoojia.com/article/9338457115751224083.html","https://www.yoojia.com/article/9338457115751224083.html")</f>
        <v>https://www.yoojia.com/article/9338457115751224083.html</v>
      </c>
      <c r="I683" s="3" t="s">
        <v>1000</v>
      </c>
      <c r="J683" t="s">
        <v>16</v>
      </c>
    </row>
    <row r="684" ht="23" customHeight="1" spans="1:10">
      <c r="A684" s="2">
        <v>683</v>
      </c>
      <c r="B684" s="3" t="s">
        <v>998</v>
      </c>
      <c r="C684" s="2" t="s">
        <v>1001</v>
      </c>
      <c r="D684" s="2" t="s">
        <v>41</v>
      </c>
      <c r="E684" s="2" t="s">
        <v>98</v>
      </c>
      <c r="F684" s="2" t="s">
        <v>13</v>
      </c>
      <c r="G684" s="2" t="s">
        <v>14</v>
      </c>
      <c r="H684" s="4" t="str">
        <f>HYPERLINK("https://mbd.baidu.com/newspage/data/landingshare?nid=news_9338457115751224083","https://mbd.baidu.com/newspage/data/landingshare?nid=news_9338457115751224083")</f>
        <v>https://mbd.baidu.com/newspage/data/landingshare?nid=news_9338457115751224083</v>
      </c>
      <c r="I684" s="3" t="s">
        <v>1000</v>
      </c>
      <c r="J684" t="s">
        <v>16</v>
      </c>
    </row>
    <row r="685" ht="23" customHeight="1" spans="1:10">
      <c r="A685" s="2">
        <v>684</v>
      </c>
      <c r="B685" s="3" t="s">
        <v>998</v>
      </c>
      <c r="C685" s="2" t="s">
        <v>1002</v>
      </c>
      <c r="D685" s="2" t="s">
        <v>46</v>
      </c>
      <c r="E685" s="2" t="s">
        <v>98</v>
      </c>
      <c r="F685" s="2" t="s">
        <v>37</v>
      </c>
      <c r="G685" s="2" t="s">
        <v>14</v>
      </c>
      <c r="H685" s="4" t="str">
        <f>HYPERLINK("https://3g.k.sohu.com/t/n916038051?serialId=3b485d958ed3275003c1012c7667c13c&amp;showType=916038051","https://3g.k.sohu.com/t/n916038051?serialId=3b485d958ed3275003c1012c7667c13c&amp;showType=916038051")</f>
        <v>https://3g.k.sohu.com/t/n916038051?serialId=3b485d958ed3275003c1012c7667c13c&amp;showType=916038051</v>
      </c>
      <c r="I685" s="3" t="s">
        <v>1000</v>
      </c>
      <c r="J685" t="s">
        <v>16</v>
      </c>
    </row>
    <row r="686" ht="23" customHeight="1" spans="1:10">
      <c r="A686" s="2">
        <v>685</v>
      </c>
      <c r="B686" s="3" t="s">
        <v>998</v>
      </c>
      <c r="C686" s="2" t="s">
        <v>1002</v>
      </c>
      <c r="D686" s="2" t="s">
        <v>46</v>
      </c>
      <c r="E686" s="2" t="s">
        <v>98</v>
      </c>
      <c r="F686" s="2" t="s">
        <v>13</v>
      </c>
      <c r="G686" s="2" t="s">
        <v>14</v>
      </c>
      <c r="H686" s="4" t="str">
        <f>HYPERLINK("https://www.sohu.com/a/921124790_362042","https://www.sohu.com/a/921124790_362042")</f>
        <v>https://www.sohu.com/a/921124790_362042</v>
      </c>
      <c r="I686" s="3" t="s">
        <v>1000</v>
      </c>
      <c r="J686" t="s">
        <v>16</v>
      </c>
    </row>
    <row r="687" ht="23" customHeight="1" spans="1:10">
      <c r="A687" s="2">
        <v>686</v>
      </c>
      <c r="B687" s="3" t="s">
        <v>998</v>
      </c>
      <c r="C687" s="2" t="s">
        <v>1003</v>
      </c>
      <c r="D687" s="2" t="s">
        <v>98</v>
      </c>
      <c r="E687" s="2" t="s">
        <v>98</v>
      </c>
      <c r="F687" s="2" t="s">
        <v>13</v>
      </c>
      <c r="G687" s="2" t="s">
        <v>14</v>
      </c>
      <c r="H687" s="4" t="str">
        <f>HYPERLINK("https://www.cnr.cn/bj/sijh/20250805/t20250805_527304395.shtml","https://www.cnr.cn/bj/sijh/20250805/t20250805_527304395.shtml")</f>
        <v>https://www.cnr.cn/bj/sijh/20250805/t20250805_527304395.shtml</v>
      </c>
      <c r="I687" s="3" t="s">
        <v>1000</v>
      </c>
      <c r="J687" t="s">
        <v>16</v>
      </c>
    </row>
    <row r="688" ht="23" customHeight="1" spans="1:10">
      <c r="A688" s="2">
        <v>687</v>
      </c>
      <c r="B688" s="3" t="s">
        <v>998</v>
      </c>
      <c r="C688" s="2" t="s">
        <v>1004</v>
      </c>
      <c r="D688" s="2" t="s">
        <v>46</v>
      </c>
      <c r="E688" s="2" t="s">
        <v>98</v>
      </c>
      <c r="F688" s="2" t="s">
        <v>37</v>
      </c>
      <c r="G688" s="2" t="s">
        <v>14</v>
      </c>
      <c r="H688" s="4" t="str">
        <f>HYPERLINK("https://3g.k.sohu.com/t/n916093356?serialId=c3812273eaed85d91d187e3b5a1a4c81&amp;showType=916093356","https://3g.k.sohu.com/t/n916093356?serialId=c3812273eaed85d91d187e3b5a1a4c81&amp;showType=916093356")</f>
        <v>https://3g.k.sohu.com/t/n916093356?serialId=c3812273eaed85d91d187e3b5a1a4c81&amp;showType=916093356</v>
      </c>
      <c r="I688" s="3" t="s">
        <v>1000</v>
      </c>
      <c r="J688" t="s">
        <v>16</v>
      </c>
    </row>
    <row r="689" ht="23" customHeight="1" spans="1:10">
      <c r="A689" s="2">
        <v>688</v>
      </c>
      <c r="B689" s="3" t="s">
        <v>998</v>
      </c>
      <c r="C689" s="2" t="s">
        <v>1004</v>
      </c>
      <c r="D689" s="2" t="s">
        <v>98</v>
      </c>
      <c r="E689" s="2" t="s">
        <v>1005</v>
      </c>
      <c r="F689" s="2" t="s">
        <v>37</v>
      </c>
      <c r="G689" s="2" t="s">
        <v>1006</v>
      </c>
      <c r="H689" s="4" t="str">
        <f>HYPERLINK("https://apicnrapp.cnr.cn/html/share.html?id=30156673","https://apicnrapp.cnr.cn/html/share.html?id=30156673")</f>
        <v>https://apicnrapp.cnr.cn/html/share.html?id=30156673</v>
      </c>
      <c r="I689" s="3" t="s">
        <v>1000</v>
      </c>
      <c r="J689" t="s">
        <v>16</v>
      </c>
    </row>
    <row r="690" ht="23" customHeight="1" spans="1:10">
      <c r="A690" s="2">
        <v>689</v>
      </c>
      <c r="B690" s="3" t="s">
        <v>1007</v>
      </c>
      <c r="C690" s="2" t="s">
        <v>1008</v>
      </c>
      <c r="D690" s="2" t="s">
        <v>35</v>
      </c>
      <c r="E690" s="2" t="s">
        <v>1009</v>
      </c>
      <c r="F690" s="2" t="s">
        <v>13</v>
      </c>
      <c r="G690" s="2" t="s">
        <v>21</v>
      </c>
      <c r="H690" s="4" t="str">
        <f>HYPERLINK("https://new.qq.com/rain/a/20250805A02SQV00","https://new.qq.com/rain/a/20250805A02SQV00")</f>
        <v>https://new.qq.com/rain/a/20250805A02SQV00</v>
      </c>
      <c r="I690" s="3" t="s">
        <v>1010</v>
      </c>
      <c r="J690" t="s">
        <v>16</v>
      </c>
    </row>
    <row r="691" ht="23" customHeight="1" spans="1:10">
      <c r="A691" s="2">
        <v>690</v>
      </c>
      <c r="B691" s="3" t="s">
        <v>1007</v>
      </c>
      <c r="C691" s="2" t="s">
        <v>1008</v>
      </c>
      <c r="D691" s="2" t="s">
        <v>34</v>
      </c>
      <c r="E691" s="2" t="s">
        <v>1009</v>
      </c>
      <c r="F691" s="2" t="s">
        <v>13</v>
      </c>
      <c r="G691" s="2" t="s">
        <v>21</v>
      </c>
      <c r="H691" s="4" t="str">
        <f>HYPERLINK("https://kandianshare.html5.qq.com/v2/news/3462443671919241538","https://kandianshare.html5.qq.com/v2/news/3462443671919241538")</f>
        <v>https://kandianshare.html5.qq.com/v2/news/3462443671919241538</v>
      </c>
      <c r="I691" s="3" t="s">
        <v>1010</v>
      </c>
      <c r="J691" t="s">
        <v>16</v>
      </c>
    </row>
    <row r="692" ht="23" customHeight="1" spans="1:10">
      <c r="A692" s="2">
        <v>691</v>
      </c>
      <c r="B692" s="3" t="s">
        <v>998</v>
      </c>
      <c r="C692" s="2" t="s">
        <v>1011</v>
      </c>
      <c r="D692" s="2" t="s">
        <v>11</v>
      </c>
      <c r="E692" s="2" t="s">
        <v>382</v>
      </c>
      <c r="F692" s="2" t="s">
        <v>13</v>
      </c>
      <c r="G692" s="2" t="s">
        <v>21</v>
      </c>
      <c r="H692" s="4" t="str">
        <f>HYPERLINK("https://www.toutiao.com/article/7534669615873212979/","https://www.toutiao.com/article/7534669615873212979/")</f>
        <v>https://www.toutiao.com/article/7534669615873212979/</v>
      </c>
      <c r="I692" s="3" t="s">
        <v>1012</v>
      </c>
      <c r="J692" t="s">
        <v>16</v>
      </c>
    </row>
    <row r="693" ht="23" customHeight="1" spans="1:10">
      <c r="A693" s="2">
        <v>692</v>
      </c>
      <c r="B693" s="3" t="s">
        <v>998</v>
      </c>
      <c r="C693" s="2" t="s">
        <v>1013</v>
      </c>
      <c r="D693" s="2" t="s">
        <v>11</v>
      </c>
      <c r="E693" s="2" t="s">
        <v>1014</v>
      </c>
      <c r="F693" s="2" t="s">
        <v>13</v>
      </c>
      <c r="G693" s="2" t="s">
        <v>26</v>
      </c>
      <c r="H693" s="4" t="str">
        <f>HYPERLINK("https://www.toutiao.com/article/7534668995221881398/","https://www.toutiao.com/article/7534668995221881398/")</f>
        <v>https://www.toutiao.com/article/7534668995221881398/</v>
      </c>
      <c r="I693" s="3" t="s">
        <v>1012</v>
      </c>
      <c r="J693" t="s">
        <v>16</v>
      </c>
    </row>
    <row r="694" ht="23" customHeight="1" spans="1:10">
      <c r="A694" s="2">
        <v>693</v>
      </c>
      <c r="B694" s="3" t="s">
        <v>998</v>
      </c>
      <c r="C694" s="2" t="s">
        <v>1015</v>
      </c>
      <c r="D694" s="2" t="s">
        <v>286</v>
      </c>
      <c r="E694" s="2" t="s">
        <v>382</v>
      </c>
      <c r="F694" s="2" t="s">
        <v>13</v>
      </c>
      <c r="G694" s="2" t="s">
        <v>21</v>
      </c>
      <c r="H694" s="4" t="str">
        <f>HYPERLINK("https://www.360kuai.com/pc/detail?url=http%3A%2F%2Fzm.news.so.com%2F3275be86e03dd85ace17a249be9562fa&amp;check=a4672e11aaee5de7","https://www.360kuai.com/pc/detail?url=http%3A%2F%2Fzm.news.so.com%2F3275be86e03dd85ace17a249be9562fa&amp;check=a4672e11aaee5de7")</f>
        <v>https://www.360kuai.com/pc/detail?url=http%3A%2F%2Fzm.news.so.com%2F3275be86e03dd85ace17a249be9562fa&amp;check=a4672e11aaee5de7</v>
      </c>
      <c r="I694" s="3" t="s">
        <v>1016</v>
      </c>
      <c r="J694" t="s">
        <v>16</v>
      </c>
    </row>
    <row r="695" ht="23" customHeight="1" spans="1:10">
      <c r="A695" s="2">
        <v>694</v>
      </c>
      <c r="B695" s="3" t="s">
        <v>998</v>
      </c>
      <c r="C695" s="2" t="s">
        <v>1017</v>
      </c>
      <c r="D695" s="2" t="s">
        <v>46</v>
      </c>
      <c r="E695" s="2" t="s">
        <v>382</v>
      </c>
      <c r="F695" s="2" t="s">
        <v>37</v>
      </c>
      <c r="G695" s="2" t="s">
        <v>21</v>
      </c>
      <c r="H695" s="4" t="str">
        <f>HYPERLINK("https://3g.k.sohu.com/t/n915680576?serialId=730afea0f9294da95277f3668b0bbfaf&amp;showType=915680576","https://3g.k.sohu.com/t/n915680576?serialId=730afea0f9294da95277f3668b0bbfaf&amp;showType=915680576")</f>
        <v>https://3g.k.sohu.com/t/n915680576?serialId=730afea0f9294da95277f3668b0bbfaf&amp;showType=915680576</v>
      </c>
      <c r="I695" s="3" t="s">
        <v>1016</v>
      </c>
      <c r="J695" t="s">
        <v>16</v>
      </c>
    </row>
    <row r="696" ht="23" customHeight="1" spans="1:10">
      <c r="A696" s="2">
        <v>695</v>
      </c>
      <c r="B696" s="3" t="s">
        <v>998</v>
      </c>
      <c r="C696" s="2" t="s">
        <v>1017</v>
      </c>
      <c r="D696" s="2" t="s">
        <v>41</v>
      </c>
      <c r="E696" s="2" t="s">
        <v>1018</v>
      </c>
      <c r="F696" s="2" t="s">
        <v>13</v>
      </c>
      <c r="G696" s="2" t="s">
        <v>26</v>
      </c>
      <c r="H696" s="4" t="str">
        <f>HYPERLINK("https://mbd.baidu.com/newspage/data/landingshare?nid=news_10578088559973974156","https://mbd.baidu.com/newspage/data/landingshare?nid=news_10578088559973974156")</f>
        <v>https://mbd.baidu.com/newspage/data/landingshare?nid=news_10578088559973974156</v>
      </c>
      <c r="I696" s="3" t="s">
        <v>1012</v>
      </c>
      <c r="J696" t="s">
        <v>16</v>
      </c>
    </row>
    <row r="697" ht="23" customHeight="1" spans="1:10">
      <c r="A697" s="2">
        <v>696</v>
      </c>
      <c r="B697" s="3" t="s">
        <v>998</v>
      </c>
      <c r="C697" s="2" t="s">
        <v>1017</v>
      </c>
      <c r="D697" s="2" t="s">
        <v>46</v>
      </c>
      <c r="E697" s="2" t="s">
        <v>382</v>
      </c>
      <c r="F697" s="2" t="s">
        <v>13</v>
      </c>
      <c r="G697" s="2" t="s">
        <v>21</v>
      </c>
      <c r="H697" s="4" t="str">
        <f>HYPERLINK("https://www.sohu.com/a/920736635_255783","https://www.sohu.com/a/920736635_255783")</f>
        <v>https://www.sohu.com/a/920736635_255783</v>
      </c>
      <c r="I697" s="3" t="s">
        <v>1016</v>
      </c>
      <c r="J697" t="s">
        <v>16</v>
      </c>
    </row>
    <row r="698" ht="23" customHeight="1" spans="1:10">
      <c r="A698" s="2">
        <v>697</v>
      </c>
      <c r="B698" s="3" t="s">
        <v>998</v>
      </c>
      <c r="C698" s="2" t="s">
        <v>1017</v>
      </c>
      <c r="D698" s="2" t="s">
        <v>1019</v>
      </c>
      <c r="E698" s="2" t="s">
        <v>1019</v>
      </c>
      <c r="F698" s="2" t="s">
        <v>37</v>
      </c>
      <c r="G698" s="2" t="s">
        <v>21</v>
      </c>
      <c r="H698" s="4" t="str">
        <f>HYPERLINK("https://app.bjtitle.com/8816/newshow.php?newsid=6682511","https://app.bjtitle.com/8816/newshow.php?newsid=6682511")</f>
        <v>https://app.bjtitle.com/8816/newshow.php?newsid=6682511</v>
      </c>
      <c r="I698" s="3" t="s">
        <v>1016</v>
      </c>
      <c r="J698" t="s">
        <v>16</v>
      </c>
    </row>
    <row r="699" ht="23" customHeight="1" spans="1:10">
      <c r="A699" s="2">
        <v>698</v>
      </c>
      <c r="B699" s="3" t="s">
        <v>998</v>
      </c>
      <c r="C699" s="2" t="s">
        <v>1017</v>
      </c>
      <c r="D699" s="2" t="s">
        <v>46</v>
      </c>
      <c r="E699" s="2" t="s">
        <v>382</v>
      </c>
      <c r="F699" s="2" t="s">
        <v>37</v>
      </c>
      <c r="G699" s="2" t="s">
        <v>21</v>
      </c>
      <c r="H699" s="4" t="str">
        <f>HYPERLINK("https://3g.k.sohu.com/t/n915658520?serialId=fc92138422e5591d3f9847a96d477415&amp;showType=915658520","https://3g.k.sohu.com/t/n915658520?serialId=fc92138422e5591d3f9847a96d477415&amp;showType=915658520")</f>
        <v>https://3g.k.sohu.com/t/n915658520?serialId=fc92138422e5591d3f9847a96d477415&amp;showType=915658520</v>
      </c>
      <c r="I699" s="3" t="s">
        <v>1016</v>
      </c>
      <c r="J699" t="s">
        <v>16</v>
      </c>
    </row>
    <row r="700" ht="23" customHeight="1" spans="1:10">
      <c r="A700" s="2">
        <v>699</v>
      </c>
      <c r="B700" s="3" t="s">
        <v>1020</v>
      </c>
      <c r="C700" s="2" t="s">
        <v>1021</v>
      </c>
      <c r="D700" s="2" t="s">
        <v>440</v>
      </c>
      <c r="E700" s="2" t="s">
        <v>1022</v>
      </c>
      <c r="F700" s="2" t="s">
        <v>13</v>
      </c>
      <c r="G700" s="2" t="s">
        <v>26</v>
      </c>
      <c r="H700" s="4" t="str">
        <f>HYPERLINK("https://edu.online.sh.cn/education/gb/content/2025-08/04/content_10367937.htm","https://edu.online.sh.cn/education/gb/content/2025-08/04/content_10367937.htm")</f>
        <v>https://edu.online.sh.cn/education/gb/content/2025-08/04/content_10367937.htm</v>
      </c>
      <c r="I700" s="3" t="s">
        <v>1023</v>
      </c>
      <c r="J700" t="s">
        <v>16</v>
      </c>
    </row>
    <row r="701" ht="23" customHeight="1" spans="1:10">
      <c r="A701" s="2">
        <v>700</v>
      </c>
      <c r="B701" s="3" t="s">
        <v>1024</v>
      </c>
      <c r="C701" s="2" t="s">
        <v>1025</v>
      </c>
      <c r="D701" s="2" t="s">
        <v>428</v>
      </c>
      <c r="E701" s="2" t="s">
        <v>1026</v>
      </c>
      <c r="F701" s="2" t="s">
        <v>13</v>
      </c>
      <c r="G701" s="2" t="s">
        <v>14</v>
      </c>
      <c r="H701" s="4" t="str">
        <f>HYPERLINK("https://article.xuexi.cn/articles/index.html?art_id=4480708068229778062&amp;cdn=https://region-shanghai-resource","https://article.xuexi.cn/articles/index.html?art_id=4480708068229778062&amp;cdn=https://region-shanghai-resource")</f>
        <v>https://article.xuexi.cn/articles/index.html?art_id=4480708068229778062&amp;cdn=https://region-shanghai-resource</v>
      </c>
      <c r="I701" s="3" t="s">
        <v>1027</v>
      </c>
      <c r="J701" t="s">
        <v>16</v>
      </c>
    </row>
    <row r="702" ht="23" customHeight="1" spans="1:10">
      <c r="A702" s="2">
        <v>701</v>
      </c>
      <c r="B702" s="3" t="s">
        <v>1020</v>
      </c>
      <c r="C702" s="2" t="s">
        <v>1028</v>
      </c>
      <c r="D702" s="2" t="s">
        <v>19</v>
      </c>
      <c r="E702" s="2" t="s">
        <v>20</v>
      </c>
      <c r="F702" s="2" t="s">
        <v>37</v>
      </c>
      <c r="G702" s="2" t="s">
        <v>21</v>
      </c>
      <c r="H702" s="4" t="str">
        <f>HYPERLINK("https://c.m.163.com/news/a/K5TKGUG8055040N3.html","https://c.m.163.com/news/a/K5TKGUG8055040N3.html")</f>
        <v>https://c.m.163.com/news/a/K5TKGUG8055040N3.html</v>
      </c>
      <c r="I702" s="3" t="s">
        <v>1029</v>
      </c>
      <c r="J702" t="s">
        <v>16</v>
      </c>
    </row>
    <row r="703" ht="23" customHeight="1" spans="1:10">
      <c r="A703" s="2">
        <v>702</v>
      </c>
      <c r="B703" s="3" t="s">
        <v>1030</v>
      </c>
      <c r="C703" s="2" t="s">
        <v>1031</v>
      </c>
      <c r="D703" s="2" t="s">
        <v>635</v>
      </c>
      <c r="E703" s="2" t="s">
        <v>132</v>
      </c>
      <c r="F703" s="2" t="s">
        <v>13</v>
      </c>
      <c r="G703" s="2" t="s">
        <v>26</v>
      </c>
      <c r="H703" s="4" t="str">
        <f>HYPERLINK("http://www.myzaker.com/article/688cc1fe8e9f0930f61ff2a2","http://www.myzaker.com/article/688cc1fe8e9f0930f61ff2a2")</f>
        <v>http://www.myzaker.com/article/688cc1fe8e9f0930f61ff2a2</v>
      </c>
      <c r="I703" s="3" t="s">
        <v>1032</v>
      </c>
      <c r="J703" t="s">
        <v>16</v>
      </c>
    </row>
    <row r="704" ht="23" customHeight="1" spans="1:10">
      <c r="A704" s="2">
        <v>703</v>
      </c>
      <c r="B704" s="3" t="s">
        <v>1020</v>
      </c>
      <c r="C704" s="2" t="s">
        <v>1033</v>
      </c>
      <c r="D704" s="2" t="s">
        <v>11</v>
      </c>
      <c r="E704" s="2" t="s">
        <v>132</v>
      </c>
      <c r="F704" s="2" t="s">
        <v>13</v>
      </c>
      <c r="G704" s="2" t="s">
        <v>26</v>
      </c>
      <c r="H704" s="4" t="str">
        <f>HYPERLINK("https://www.toutiao.com/article/7533612631119987240/","https://www.toutiao.com/article/7533612631119987240/")</f>
        <v>https://www.toutiao.com/article/7533612631119987240/</v>
      </c>
      <c r="I704" s="3" t="s">
        <v>1029</v>
      </c>
      <c r="J704" t="s">
        <v>16</v>
      </c>
    </row>
    <row r="705" ht="23" customHeight="1" spans="1:10">
      <c r="A705" s="2">
        <v>704</v>
      </c>
      <c r="B705" s="3" t="s">
        <v>1020</v>
      </c>
      <c r="C705" s="2" t="s">
        <v>1034</v>
      </c>
      <c r="D705" s="2" t="s">
        <v>19</v>
      </c>
      <c r="E705" s="2" t="s">
        <v>135</v>
      </c>
      <c r="F705" s="2" t="s">
        <v>37</v>
      </c>
      <c r="G705" s="2" t="s">
        <v>21</v>
      </c>
      <c r="H705" s="4" t="str">
        <f>HYPERLINK("https://c.m.163.com/news/a/K5TI668005506BEH.html","https://c.m.163.com/news/a/K5TI668005506BEH.html")</f>
        <v>https://c.m.163.com/news/a/K5TI668005506BEH.html</v>
      </c>
      <c r="I705" s="3" t="s">
        <v>1029</v>
      </c>
      <c r="J705" t="s">
        <v>16</v>
      </c>
    </row>
    <row r="706" ht="23" customHeight="1" spans="1:10">
      <c r="A706" s="2">
        <v>705</v>
      </c>
      <c r="B706" s="3" t="s">
        <v>1020</v>
      </c>
      <c r="C706" s="2" t="s">
        <v>1035</v>
      </c>
      <c r="D706" s="2" t="s">
        <v>11</v>
      </c>
      <c r="E706" s="2" t="s">
        <v>20</v>
      </c>
      <c r="F706" s="2" t="s">
        <v>13</v>
      </c>
      <c r="G706" s="2" t="s">
        <v>21</v>
      </c>
      <c r="H706" s="4" t="str">
        <f>HYPERLINK("https://www.toutiao.com/article/7533610672924475930/","https://www.toutiao.com/article/7533610672924475930/")</f>
        <v>https://www.toutiao.com/article/7533610672924475930/</v>
      </c>
      <c r="I706" s="3" t="s">
        <v>1029</v>
      </c>
      <c r="J706" t="s">
        <v>16</v>
      </c>
    </row>
    <row r="707" ht="23" customHeight="1" spans="1:10">
      <c r="A707" s="2">
        <v>706</v>
      </c>
      <c r="B707" s="3" t="s">
        <v>1020</v>
      </c>
      <c r="C707" s="2" t="s">
        <v>1036</v>
      </c>
      <c r="D707" s="2" t="s">
        <v>35</v>
      </c>
      <c r="E707" s="2" t="s">
        <v>20</v>
      </c>
      <c r="F707" s="2" t="s">
        <v>13</v>
      </c>
      <c r="G707" s="2" t="s">
        <v>21</v>
      </c>
      <c r="H707" s="4" t="str">
        <f>HYPERLINK("https://new.qq.com/rain/a/20250801A09JB800","https://new.qq.com/rain/a/20250801A09JB800")</f>
        <v>https://new.qq.com/rain/a/20250801A09JB800</v>
      </c>
      <c r="I707" s="3" t="s">
        <v>1029</v>
      </c>
      <c r="J707" t="s">
        <v>16</v>
      </c>
    </row>
    <row r="708" ht="23" customHeight="1" spans="1:10">
      <c r="A708" s="2">
        <v>707</v>
      </c>
      <c r="B708" s="3" t="s">
        <v>1020</v>
      </c>
      <c r="C708" s="2" t="s">
        <v>1036</v>
      </c>
      <c r="D708" s="2" t="s">
        <v>34</v>
      </c>
      <c r="E708" s="2" t="s">
        <v>20</v>
      </c>
      <c r="F708" s="2" t="s">
        <v>13</v>
      </c>
      <c r="G708" s="2" t="s">
        <v>21</v>
      </c>
      <c r="H708" s="4" t="str">
        <f>HYPERLINK("https://kandianshare.html5.qq.com/v2/news/895391246863366466","https://kandianshare.html5.qq.com/v2/news/895391246863366466")</f>
        <v>https://kandianshare.html5.qq.com/v2/news/895391246863366466</v>
      </c>
      <c r="I708" s="3" t="s">
        <v>1029</v>
      </c>
      <c r="J708" t="s">
        <v>16</v>
      </c>
    </row>
    <row r="709" ht="23" customHeight="1" spans="1:10">
      <c r="A709" s="2">
        <v>708</v>
      </c>
      <c r="B709" s="3" t="s">
        <v>1020</v>
      </c>
      <c r="C709" s="2" t="s">
        <v>1037</v>
      </c>
      <c r="D709" s="2" t="s">
        <v>41</v>
      </c>
      <c r="E709" s="2" t="s">
        <v>20</v>
      </c>
      <c r="F709" s="2" t="s">
        <v>13</v>
      </c>
      <c r="G709" s="2" t="s">
        <v>21</v>
      </c>
      <c r="H709" s="4" t="str">
        <f>HYPERLINK("https://mbd.baidu.com/newspage/data/landingshare?nid=news_8553913147792999776","https://mbd.baidu.com/newspage/data/landingshare?nid=news_8553913147792999776")</f>
        <v>https://mbd.baidu.com/newspage/data/landingshare?nid=news_8553913147792999776</v>
      </c>
      <c r="I709" s="3" t="s">
        <v>1029</v>
      </c>
      <c r="J709" t="s">
        <v>16</v>
      </c>
    </row>
    <row r="710" ht="23" customHeight="1" spans="1:10">
      <c r="A710" s="2">
        <v>709</v>
      </c>
      <c r="B710" s="3" t="s">
        <v>1020</v>
      </c>
      <c r="C710" s="2" t="s">
        <v>1037</v>
      </c>
      <c r="D710" s="2" t="s">
        <v>40</v>
      </c>
      <c r="E710" s="2" t="s">
        <v>20</v>
      </c>
      <c r="F710" s="2" t="s">
        <v>13</v>
      </c>
      <c r="G710" s="2" t="s">
        <v>21</v>
      </c>
      <c r="H710" s="4" t="str">
        <f>HYPERLINK("https://www.yoojia.com/article/8553913147792999776.html","https://www.yoojia.com/article/8553913147792999776.html")</f>
        <v>https://www.yoojia.com/article/8553913147792999776.html</v>
      </c>
      <c r="I710" s="3" t="s">
        <v>1029</v>
      </c>
      <c r="J710" t="s">
        <v>16</v>
      </c>
    </row>
    <row r="711" ht="23" customHeight="1" spans="1:10">
      <c r="A711" s="2">
        <v>710</v>
      </c>
      <c r="B711" s="3" t="s">
        <v>1020</v>
      </c>
      <c r="C711" s="2" t="s">
        <v>1038</v>
      </c>
      <c r="D711" s="2" t="s">
        <v>43</v>
      </c>
      <c r="E711" s="2" t="s">
        <v>1022</v>
      </c>
      <c r="F711" s="2" t="s">
        <v>13</v>
      </c>
      <c r="G711" s="2" t="s">
        <v>21</v>
      </c>
      <c r="H711" s="4" t="str">
        <f>HYPERLINK("https://www.jfdaily.com.cn/staticsg/res/html/web/newsDetail.html?id=957703","https://www.jfdaily.com.cn/staticsg/res/html/web/newsDetail.html?id=957703")</f>
        <v>https://www.jfdaily.com.cn/staticsg/res/html/web/newsDetail.html?id=957703</v>
      </c>
      <c r="I711" s="3" t="s">
        <v>1029</v>
      </c>
      <c r="J711" t="s">
        <v>16</v>
      </c>
    </row>
    <row r="712" ht="23" customHeight="1" spans="1:10">
      <c r="A712" s="2">
        <v>711</v>
      </c>
      <c r="B712" s="3" t="s">
        <v>1020</v>
      </c>
      <c r="C712" s="2" t="s">
        <v>1038</v>
      </c>
      <c r="D712" s="2" t="s">
        <v>29</v>
      </c>
      <c r="E712" s="2" t="s">
        <v>20</v>
      </c>
      <c r="F712" s="2" t="s">
        <v>13</v>
      </c>
      <c r="G712" s="2" t="s">
        <v>21</v>
      </c>
      <c r="H712" s="4" t="str">
        <f>HYPERLINK("https://finance.sina.cn/2025-08-01/detail-infinynk6194391.d.html","https://finance.sina.cn/2025-08-01/detail-infinynk6194391.d.html")</f>
        <v>https://finance.sina.cn/2025-08-01/detail-infinynk6194391.d.html</v>
      </c>
      <c r="I712" s="3" t="s">
        <v>1029</v>
      </c>
      <c r="J712" t="s">
        <v>16</v>
      </c>
    </row>
    <row r="713" ht="23" customHeight="1" spans="1:10">
      <c r="A713" s="2">
        <v>712</v>
      </c>
      <c r="B713" s="3" t="s">
        <v>1020</v>
      </c>
      <c r="C713" s="2" t="s">
        <v>1038</v>
      </c>
      <c r="D713" s="2" t="s">
        <v>107</v>
      </c>
      <c r="E713" s="2" t="s">
        <v>135</v>
      </c>
      <c r="F713" s="2" t="s">
        <v>13</v>
      </c>
      <c r="G713" s="2" t="s">
        <v>21</v>
      </c>
      <c r="H713" s="4" t="str">
        <f>HYPERLINK("https://k.sina.cn/article_1914880192_7222c0c002001itwu.html","https://k.sina.cn/article_1914880192_7222c0c002001itwu.html")</f>
        <v>https://k.sina.cn/article_1914880192_7222c0c002001itwu.html</v>
      </c>
      <c r="I713" s="3" t="s">
        <v>1029</v>
      </c>
      <c r="J713" t="s">
        <v>16</v>
      </c>
    </row>
    <row r="714" ht="23" customHeight="1" spans="1:10">
      <c r="A714" s="2">
        <v>713</v>
      </c>
      <c r="B714" s="3" t="s">
        <v>1020</v>
      </c>
      <c r="C714" s="2" t="s">
        <v>1039</v>
      </c>
      <c r="D714" s="2" t="s">
        <v>491</v>
      </c>
      <c r="E714" s="2" t="s">
        <v>649</v>
      </c>
      <c r="F714" s="2" t="s">
        <v>13</v>
      </c>
      <c r="G714" s="2" t="s">
        <v>21</v>
      </c>
      <c r="H714" s="4" t="str">
        <f>HYPERLINK("https://ishare.ifeng.com/c/s/8lTIbnO0OpY","https://ishare.ifeng.com/c/s/8lTIbnO0OpY")</f>
        <v>https://ishare.ifeng.com/c/s/8lTIbnO0OpY</v>
      </c>
      <c r="I714" s="3" t="s">
        <v>1029</v>
      </c>
      <c r="J714" t="s">
        <v>16</v>
      </c>
    </row>
    <row r="715" ht="23" customHeight="1" spans="1:10">
      <c r="A715" s="2">
        <v>714</v>
      </c>
      <c r="B715" s="3" t="s">
        <v>1020</v>
      </c>
      <c r="C715" s="2" t="s">
        <v>1039</v>
      </c>
      <c r="D715" s="2" t="s">
        <v>46</v>
      </c>
      <c r="E715" s="2" t="s">
        <v>135</v>
      </c>
      <c r="F715" s="2" t="s">
        <v>13</v>
      </c>
      <c r="G715" s="2" t="s">
        <v>21</v>
      </c>
      <c r="H715" s="4" t="str">
        <f>HYPERLINK("https://www.sohu.com/a/919972929_120244154","https://www.sohu.com/a/919972929_120244154")</f>
        <v>https://www.sohu.com/a/919972929_120244154</v>
      </c>
      <c r="I715" s="3" t="s">
        <v>1029</v>
      </c>
      <c r="J715" t="s">
        <v>16</v>
      </c>
    </row>
    <row r="716" ht="23" customHeight="1" spans="1:10">
      <c r="A716" s="2">
        <v>715</v>
      </c>
      <c r="B716" s="3" t="s">
        <v>1020</v>
      </c>
      <c r="C716" s="2" t="s">
        <v>1039</v>
      </c>
      <c r="D716" s="2" t="s">
        <v>46</v>
      </c>
      <c r="E716" s="2" t="s">
        <v>135</v>
      </c>
      <c r="F716" s="2" t="s">
        <v>37</v>
      </c>
      <c r="G716" s="2" t="s">
        <v>21</v>
      </c>
      <c r="H716" s="4" t="str">
        <f>HYPERLINK("https://3g.k.sohu.com/t/n914899158?serialId=87280c15e4bf53542174ddfc8e107840&amp;showType=914899158","https://3g.k.sohu.com/t/n914899158?serialId=87280c15e4bf53542174ddfc8e107840&amp;showType=914899158")</f>
        <v>https://3g.k.sohu.com/t/n914899158?serialId=87280c15e4bf53542174ddfc8e107840&amp;showType=914899158</v>
      </c>
      <c r="I716" s="3" t="s">
        <v>1029</v>
      </c>
      <c r="J716" t="s">
        <v>16</v>
      </c>
    </row>
    <row r="717" ht="23" customHeight="1" spans="1:10">
      <c r="A717" s="2">
        <v>716</v>
      </c>
      <c r="B717" s="3" t="s">
        <v>1020</v>
      </c>
      <c r="C717" s="2" t="s">
        <v>1039</v>
      </c>
      <c r="D717" s="2" t="s">
        <v>20</v>
      </c>
      <c r="E717" s="2" t="s">
        <v>1022</v>
      </c>
      <c r="F717" s="2" t="s">
        <v>37</v>
      </c>
      <c r="G717" s="2" t="s">
        <v>21</v>
      </c>
      <c r="H717" s="4" t="str">
        <f>HYPERLINK("https://services.shobserver.com/news/viewNewsDetail?id=957703","https://services.shobserver.com/news/viewNewsDetail?id=957703")</f>
        <v>https://services.shobserver.com/news/viewNewsDetail?id=957703</v>
      </c>
      <c r="I717" s="3" t="s">
        <v>1040</v>
      </c>
      <c r="J717" t="s">
        <v>16</v>
      </c>
    </row>
    <row r="718" ht="23" customHeight="1" spans="1:10">
      <c r="A718" s="2">
        <v>717</v>
      </c>
      <c r="B718" s="3" t="s">
        <v>1020</v>
      </c>
      <c r="C718" s="2" t="s">
        <v>1039</v>
      </c>
      <c r="D718" s="2" t="s">
        <v>43</v>
      </c>
      <c r="E718" s="2" t="s">
        <v>1022</v>
      </c>
      <c r="F718" s="2" t="s">
        <v>13</v>
      </c>
      <c r="G718" s="2" t="s">
        <v>21</v>
      </c>
      <c r="H718" s="4" t="str">
        <f>HYPERLINK("https://www.jfdaily.com/staticsg/res/html/web/newsDetail.html?id=957703","https://www.jfdaily.com/staticsg/res/html/web/newsDetail.html?id=957703")</f>
        <v>https://www.jfdaily.com/staticsg/res/html/web/newsDetail.html?id=957703</v>
      </c>
      <c r="I718" s="3" t="s">
        <v>1029</v>
      </c>
      <c r="J718" t="s">
        <v>16</v>
      </c>
    </row>
    <row r="719" ht="23" customHeight="1" spans="1:10">
      <c r="A719" s="2">
        <v>718</v>
      </c>
      <c r="B719" s="3" t="s">
        <v>1020</v>
      </c>
      <c r="C719" s="2" t="s">
        <v>1039</v>
      </c>
      <c r="D719" s="2" t="s">
        <v>43</v>
      </c>
      <c r="E719" s="2" t="s">
        <v>43</v>
      </c>
      <c r="F719" s="2" t="s">
        <v>37</v>
      </c>
      <c r="G719" s="2" t="s">
        <v>21</v>
      </c>
      <c r="H719" s="4" t="str">
        <f>HYPERLINK("https://export.shobserver.com/baijiahao/html/957703.html","https://export.shobserver.com/baijiahao/html/957703.html")</f>
        <v>https://export.shobserver.com/baijiahao/html/957703.html</v>
      </c>
      <c r="I719" s="3" t="s">
        <v>1029</v>
      </c>
      <c r="J719" t="s">
        <v>16</v>
      </c>
    </row>
    <row r="720" ht="23" customHeight="1" spans="1:10">
      <c r="A720" s="2">
        <v>719</v>
      </c>
      <c r="B720" s="3" t="s">
        <v>1041</v>
      </c>
      <c r="C720" s="2" t="s">
        <v>1042</v>
      </c>
      <c r="D720" s="2" t="s">
        <v>327</v>
      </c>
      <c r="E720" s="2" t="s">
        <v>327</v>
      </c>
      <c r="F720" s="2" t="s">
        <v>13</v>
      </c>
      <c r="G720" s="2" t="s">
        <v>21</v>
      </c>
      <c r="H720" s="4" t="str">
        <f>HYPERLINK("https://www.dingxinwen.cn/detail/1458D0E741BC4E73","https://www.dingxinwen.cn/detail/1458D0E741BC4E73")</f>
        <v>https://www.dingxinwen.cn/detail/1458D0E741BC4E73</v>
      </c>
      <c r="I720" s="3" t="s">
        <v>1043</v>
      </c>
      <c r="J720" t="s">
        <v>16</v>
      </c>
    </row>
    <row r="721" ht="23" customHeight="1" spans="1:10">
      <c r="A721" s="2">
        <v>720</v>
      </c>
      <c r="B721" s="3" t="s">
        <v>1044</v>
      </c>
      <c r="C721" s="2" t="s">
        <v>1045</v>
      </c>
      <c r="D721" s="2" t="s">
        <v>46</v>
      </c>
      <c r="E721" s="2" t="s">
        <v>1046</v>
      </c>
      <c r="F721" s="2" t="s">
        <v>37</v>
      </c>
      <c r="G721" s="2" t="s">
        <v>26</v>
      </c>
      <c r="H721" s="4" t="str">
        <f>HYPERLINK("https://3g.k.sohu.com/t/n913935959?serialId=da6dd972ec235eace20160bef55dc503&amp;showType=913935959","https://3g.k.sohu.com/t/n913935959?serialId=da6dd972ec235eace20160bef55dc503&amp;showType=913935959")</f>
        <v>https://3g.k.sohu.com/t/n913935959?serialId=da6dd972ec235eace20160bef55dc503&amp;showType=913935959</v>
      </c>
      <c r="I721" s="3" t="s">
        <v>1047</v>
      </c>
      <c r="J721" t="s">
        <v>16</v>
      </c>
    </row>
    <row r="722" ht="23" customHeight="1" spans="1:10">
      <c r="A722" s="2">
        <v>721</v>
      </c>
      <c r="B722" s="3" t="s">
        <v>1048</v>
      </c>
      <c r="C722" s="2" t="s">
        <v>1049</v>
      </c>
      <c r="D722" s="2" t="s">
        <v>40</v>
      </c>
      <c r="E722" s="2" t="s">
        <v>20</v>
      </c>
      <c r="F722" s="2" t="s">
        <v>13</v>
      </c>
      <c r="G722" s="2" t="s">
        <v>21</v>
      </c>
      <c r="H722" s="4" t="str">
        <f>HYPERLINK("https://www.yoojia.com/article/10226031507940717870.html","https://www.yoojia.com/article/10226031507940717870.html")</f>
        <v>https://www.yoojia.com/article/10226031507940717870.html</v>
      </c>
      <c r="I722" s="3" t="s">
        <v>1050</v>
      </c>
      <c r="J722" t="s">
        <v>16</v>
      </c>
    </row>
    <row r="723" ht="23" customHeight="1" spans="1:10">
      <c r="A723" s="2">
        <v>722</v>
      </c>
      <c r="B723" s="3" t="s">
        <v>1048</v>
      </c>
      <c r="C723" s="2" t="s">
        <v>1049</v>
      </c>
      <c r="D723" s="2" t="s">
        <v>41</v>
      </c>
      <c r="E723" s="2" t="s">
        <v>20</v>
      </c>
      <c r="F723" s="2" t="s">
        <v>13</v>
      </c>
      <c r="G723" s="2" t="s">
        <v>21</v>
      </c>
      <c r="H723" s="4" t="str">
        <f>HYPERLINK("https://mbd.baidu.com/newspage/data/landingshare?nid=news_10226031507940717870","https://mbd.baidu.com/newspage/data/landingshare?nid=news_10226031507940717870")</f>
        <v>https://mbd.baidu.com/newspage/data/landingshare?nid=news_10226031507940717870</v>
      </c>
      <c r="I723" s="3" t="s">
        <v>1050</v>
      </c>
      <c r="J723" t="s">
        <v>16</v>
      </c>
    </row>
    <row r="724" ht="23" customHeight="1" spans="1:10">
      <c r="A724" s="2">
        <v>723</v>
      </c>
      <c r="B724" s="3" t="s">
        <v>1051</v>
      </c>
      <c r="C724" s="2" t="s">
        <v>1052</v>
      </c>
      <c r="D724" s="2" t="s">
        <v>1053</v>
      </c>
      <c r="E724" s="2" t="s">
        <v>1053</v>
      </c>
      <c r="F724" s="2" t="s">
        <v>13</v>
      </c>
      <c r="G724" s="2" t="s">
        <v>21</v>
      </c>
      <c r="H724" s="4" t="str">
        <f>HYPERLINK("http://tongling.ahwang.cn/tljiaoti/20250728/2889466.html","http://tongling.ahwang.cn/tljiaoti/20250728/2889466.html")</f>
        <v>http://tongling.ahwang.cn/tljiaoti/20250728/2889466.html</v>
      </c>
      <c r="I724" s="3" t="s">
        <v>1054</v>
      </c>
      <c r="J724" t="s">
        <v>16</v>
      </c>
    </row>
    <row r="725" ht="23" customHeight="1" spans="1:10">
      <c r="A725" s="2">
        <v>724</v>
      </c>
      <c r="B725" s="3" t="s">
        <v>1055</v>
      </c>
      <c r="C725" s="2" t="s">
        <v>1056</v>
      </c>
      <c r="D725" s="2" t="s">
        <v>1057</v>
      </c>
      <c r="E725" s="2" t="s">
        <v>1057</v>
      </c>
      <c r="F725" s="2" t="s">
        <v>13</v>
      </c>
      <c r="G725" s="2" t="s">
        <v>201</v>
      </c>
      <c r="H725" s="4" t="str">
        <f>HYPERLINK("http://www.cinic.org.cn/hy/jy/1597721.html","http://www.cinic.org.cn/hy/jy/1597721.html")</f>
        <v>http://www.cinic.org.cn/hy/jy/1597721.html</v>
      </c>
      <c r="I725" s="3" t="s">
        <v>1058</v>
      </c>
      <c r="J725" t="s">
        <v>16</v>
      </c>
    </row>
    <row r="726" ht="23" customHeight="1" spans="1:10">
      <c r="A726" s="2">
        <v>725</v>
      </c>
      <c r="B726" s="3" t="s">
        <v>1059</v>
      </c>
      <c r="C726" s="2" t="s">
        <v>1060</v>
      </c>
      <c r="D726" s="2" t="s">
        <v>91</v>
      </c>
      <c r="E726" s="2" t="s">
        <v>1061</v>
      </c>
      <c r="F726" s="2" t="s">
        <v>91</v>
      </c>
      <c r="G726" s="2" t="s">
        <v>21</v>
      </c>
      <c r="H726" s="4" t="str">
        <f>HYPERLINK("http://mp.weixin.qq.com/s?__biz=MzI5NDIzMzcxMw==&amp;mid=2651858958&amp;idx=1&amp;sn=55d4eb5267c37e675b4fc4c19c3f3330","http://mp.weixin.qq.com/s?__biz=MzI5NDIzMzcxMw==&amp;mid=2651858958&amp;idx=1&amp;sn=55d4eb5267c37e675b4fc4c19c3f3330")</f>
        <v>http://mp.weixin.qq.com/s?__biz=MzI5NDIzMzcxMw==&amp;mid=2651858958&amp;idx=1&amp;sn=55d4eb5267c37e675b4fc4c19c3f3330</v>
      </c>
      <c r="I726" s="3" t="s">
        <v>1062</v>
      </c>
      <c r="J726" t="s">
        <v>16</v>
      </c>
    </row>
    <row r="727" ht="23" customHeight="1" spans="1:10">
      <c r="A727" s="2">
        <v>726</v>
      </c>
      <c r="B727" s="3" t="s">
        <v>1055</v>
      </c>
      <c r="C727" s="2" t="s">
        <v>1063</v>
      </c>
      <c r="D727" s="2" t="s">
        <v>562</v>
      </c>
      <c r="E727" s="2" t="s">
        <v>562</v>
      </c>
      <c r="F727" s="2" t="s">
        <v>13</v>
      </c>
      <c r="G727" s="2" t="s">
        <v>21</v>
      </c>
      <c r="H727" s="4" t="str">
        <f>HYPERLINK("https://edu.yunnan.cn/system/2025/07/23/033555264.shtml","https://edu.yunnan.cn/system/2025/07/23/033555264.shtml")</f>
        <v>https://edu.yunnan.cn/system/2025/07/23/033555264.shtml</v>
      </c>
      <c r="I727" s="3" t="s">
        <v>1064</v>
      </c>
      <c r="J727" t="s">
        <v>16</v>
      </c>
    </row>
    <row r="728" ht="23" customHeight="1" spans="1:10">
      <c r="A728" s="2">
        <v>727</v>
      </c>
      <c r="B728" s="3" t="s">
        <v>1055</v>
      </c>
      <c r="C728" s="2" t="s">
        <v>1065</v>
      </c>
      <c r="D728" s="2" t="s">
        <v>29</v>
      </c>
      <c r="E728" s="2" t="s">
        <v>562</v>
      </c>
      <c r="F728" s="2" t="s">
        <v>13</v>
      </c>
      <c r="G728" s="2" t="s">
        <v>21</v>
      </c>
      <c r="H728" s="4" t="str">
        <f>HYPERLINK("https://finance.sina.cn/2025-07-23/detail-infhmxps3039725.d.html","https://finance.sina.cn/2025-07-23/detail-infhmxps3039725.d.html")</f>
        <v>https://finance.sina.cn/2025-07-23/detail-infhmxps3039725.d.html</v>
      </c>
      <c r="I728" s="3" t="s">
        <v>1066</v>
      </c>
      <c r="J728" t="s">
        <v>16</v>
      </c>
    </row>
    <row r="729" ht="23" customHeight="1" spans="1:10">
      <c r="A729" s="2">
        <v>728</v>
      </c>
      <c r="B729" s="3" t="s">
        <v>1044</v>
      </c>
      <c r="C729" s="2" t="s">
        <v>1067</v>
      </c>
      <c r="D729" s="2" t="s">
        <v>46</v>
      </c>
      <c r="E729" s="2" t="s">
        <v>1068</v>
      </c>
      <c r="F729" s="2" t="s">
        <v>37</v>
      </c>
      <c r="G729" s="2" t="s">
        <v>26</v>
      </c>
      <c r="H729" s="4" t="str">
        <f>HYPERLINK("https://3g.k.sohu.com/t/n911271601?serialId=3bfad8f81d28d91f992644e1483590a7&amp;showType=911271601","https://3g.k.sohu.com/t/n911271601?serialId=3bfad8f81d28d91f992644e1483590a7&amp;showType=911271601")</f>
        <v>https://3g.k.sohu.com/t/n911271601?serialId=3bfad8f81d28d91f992644e1483590a7&amp;showType=911271601</v>
      </c>
      <c r="I729" s="3" t="s">
        <v>1069</v>
      </c>
      <c r="J729" t="s">
        <v>16</v>
      </c>
    </row>
    <row r="730" ht="23" customHeight="1" spans="1:10">
      <c r="A730" s="2">
        <v>729</v>
      </c>
      <c r="B730" s="3" t="s">
        <v>1055</v>
      </c>
      <c r="C730" s="2" t="s">
        <v>1070</v>
      </c>
      <c r="D730" s="2" t="s">
        <v>1071</v>
      </c>
      <c r="E730" s="2" t="s">
        <v>1071</v>
      </c>
      <c r="F730" s="2" t="s">
        <v>13</v>
      </c>
      <c r="G730" s="2" t="s">
        <v>201</v>
      </c>
      <c r="H730" s="4" t="str">
        <f>HYPERLINK("http://www.chinaedunet.com/huodong/zxhd/2025/7/content_251561.shtml","http://www.chinaedunet.com/huodong/zxhd/2025/7/content_251561.shtml")</f>
        <v>http://www.chinaedunet.com/huodong/zxhd/2025/7/content_251561.shtml</v>
      </c>
      <c r="I730" s="3" t="s">
        <v>1072</v>
      </c>
      <c r="J730" t="s">
        <v>16</v>
      </c>
    </row>
    <row r="731" ht="23" customHeight="1" spans="1:10">
      <c r="A731" s="2">
        <v>730</v>
      </c>
      <c r="B731" s="3" t="s">
        <v>1055</v>
      </c>
      <c r="C731" s="2" t="s">
        <v>1073</v>
      </c>
      <c r="D731" s="2" t="s">
        <v>35</v>
      </c>
      <c r="E731" s="2" t="s">
        <v>98</v>
      </c>
      <c r="F731" s="2" t="s">
        <v>13</v>
      </c>
      <c r="G731" s="2" t="s">
        <v>14</v>
      </c>
      <c r="H731" s="4" t="str">
        <f>HYPERLINK("https://new.qq.com/rain/a/20250722A02H3H00","https://new.qq.com/rain/a/20250722A02H3H00")</f>
        <v>https://new.qq.com/rain/a/20250722A02H3H00</v>
      </c>
      <c r="I731" s="3" t="s">
        <v>1058</v>
      </c>
      <c r="J731" t="s">
        <v>16</v>
      </c>
    </row>
    <row r="732" ht="23" customHeight="1" spans="1:10">
      <c r="A732" s="2">
        <v>731</v>
      </c>
      <c r="B732" s="3" t="s">
        <v>1055</v>
      </c>
      <c r="C732" s="2" t="s">
        <v>1073</v>
      </c>
      <c r="D732" s="2" t="s">
        <v>34</v>
      </c>
      <c r="E732" s="2" t="s">
        <v>98</v>
      </c>
      <c r="F732" s="2" t="s">
        <v>13</v>
      </c>
      <c r="G732" s="2" t="s">
        <v>14</v>
      </c>
      <c r="H732" s="4" t="str">
        <f>HYPERLINK("https://kandianshare.html5.qq.com/v2/news/1246670110588008770","https://kandianshare.html5.qq.com/v2/news/1246670110588008770")</f>
        <v>https://kandianshare.html5.qq.com/v2/news/1246670110588008770</v>
      </c>
      <c r="I732" s="3" t="s">
        <v>1072</v>
      </c>
      <c r="J732" t="s">
        <v>16</v>
      </c>
    </row>
    <row r="733" ht="23" customHeight="1" spans="1:10">
      <c r="A733" s="2">
        <v>732</v>
      </c>
      <c r="B733" s="3" t="s">
        <v>1055</v>
      </c>
      <c r="C733" s="2" t="s">
        <v>1074</v>
      </c>
      <c r="D733" s="2" t="s">
        <v>46</v>
      </c>
      <c r="E733" s="2" t="s">
        <v>98</v>
      </c>
      <c r="F733" s="2" t="s">
        <v>37</v>
      </c>
      <c r="G733" s="2" t="s">
        <v>14</v>
      </c>
      <c r="H733" s="4" t="str">
        <f>HYPERLINK("https://3g.k.sohu.com/t/n911143571?serialId=d5ebd6416623f015859a814321df5bad&amp;showType=911143571","https://3g.k.sohu.com/t/n911143571?serialId=d5ebd6416623f015859a814321df5bad&amp;showType=911143571")</f>
        <v>https://3g.k.sohu.com/t/n911143571?serialId=d5ebd6416623f015859a814321df5bad&amp;showType=911143571</v>
      </c>
      <c r="I733" s="3" t="s">
        <v>1072</v>
      </c>
      <c r="J733" t="s">
        <v>16</v>
      </c>
    </row>
    <row r="734" ht="23" customHeight="1" spans="1:10">
      <c r="A734" s="2">
        <v>733</v>
      </c>
      <c r="B734" s="3" t="s">
        <v>1055</v>
      </c>
      <c r="C734" s="2" t="s">
        <v>1074</v>
      </c>
      <c r="D734" s="2" t="s">
        <v>46</v>
      </c>
      <c r="E734" s="2" t="s">
        <v>98</v>
      </c>
      <c r="F734" s="2" t="s">
        <v>13</v>
      </c>
      <c r="G734" s="2" t="s">
        <v>14</v>
      </c>
      <c r="H734" s="4" t="str">
        <f>HYPERLINK("https://www.sohu.com/a/916255185_362042","https://www.sohu.com/a/916255185_362042")</f>
        <v>https://www.sohu.com/a/916255185_362042</v>
      </c>
      <c r="I734" s="3" t="s">
        <v>1072</v>
      </c>
      <c r="J734" t="s">
        <v>16</v>
      </c>
    </row>
    <row r="735" ht="23" customHeight="1" spans="1:10">
      <c r="A735" s="2">
        <v>734</v>
      </c>
      <c r="B735" s="3" t="s">
        <v>1055</v>
      </c>
      <c r="C735" s="2" t="s">
        <v>1075</v>
      </c>
      <c r="D735" s="2" t="s">
        <v>98</v>
      </c>
      <c r="E735" s="2" t="s">
        <v>98</v>
      </c>
      <c r="F735" s="2" t="s">
        <v>13</v>
      </c>
      <c r="G735" s="2" t="s">
        <v>14</v>
      </c>
      <c r="H735" s="4" t="str">
        <f>HYPERLINK("https://edu.cnr.cn/sy/20250722/t20250722_527276074.shtml","https://edu.cnr.cn/sy/20250722/t20250722_527276074.shtml")</f>
        <v>https://edu.cnr.cn/sy/20250722/t20250722_527276074.shtml</v>
      </c>
      <c r="I735" s="3" t="s">
        <v>1058</v>
      </c>
      <c r="J735" t="s">
        <v>16</v>
      </c>
    </row>
    <row r="736" ht="23" customHeight="1" spans="1:10">
      <c r="A736" s="2">
        <v>735</v>
      </c>
      <c r="B736" s="3" t="s">
        <v>1055</v>
      </c>
      <c r="C736" s="2" t="s">
        <v>1075</v>
      </c>
      <c r="D736" s="2" t="s">
        <v>98</v>
      </c>
      <c r="E736" s="2" t="s">
        <v>544</v>
      </c>
      <c r="F736" s="2" t="s">
        <v>13</v>
      </c>
      <c r="G736" s="2" t="s">
        <v>14</v>
      </c>
      <c r="H736" s="4" t="str">
        <f>HYPERLINK("https://www.cnr.cn/jy/list/20250722/t20250722_527276074.shtml","https://www.cnr.cn/jy/list/20250722/t20250722_527276074.shtml")</f>
        <v>https://www.cnr.cn/jy/list/20250722/t20250722_527276074.shtml</v>
      </c>
      <c r="I736" s="3" t="s">
        <v>1058</v>
      </c>
      <c r="J736" t="s">
        <v>16</v>
      </c>
    </row>
    <row r="737" ht="23" customHeight="1" spans="1:10">
      <c r="A737" s="2">
        <v>736</v>
      </c>
      <c r="B737" s="3" t="s">
        <v>1055</v>
      </c>
      <c r="C737" s="2" t="s">
        <v>1075</v>
      </c>
      <c r="D737" s="2" t="s">
        <v>98</v>
      </c>
      <c r="E737" s="2" t="s">
        <v>98</v>
      </c>
      <c r="F737" s="2" t="s">
        <v>13</v>
      </c>
      <c r="G737" s="2" t="s">
        <v>14</v>
      </c>
      <c r="H737" s="4" t="str">
        <f>HYPERLINK("https://edu.cnr.cn/gc/20250722/t20250722_527276074.shtml","https://edu.cnr.cn/gc/20250722/t20250722_527276074.shtml")</f>
        <v>https://edu.cnr.cn/gc/20250722/t20250722_527276074.shtml</v>
      </c>
      <c r="I737" s="3" t="s">
        <v>1058</v>
      </c>
      <c r="J737" t="s">
        <v>16</v>
      </c>
    </row>
    <row r="738" ht="23" customHeight="1" spans="1:10">
      <c r="A738" s="2">
        <v>737</v>
      </c>
      <c r="B738" s="3" t="s">
        <v>1055</v>
      </c>
      <c r="C738" s="2" t="s">
        <v>1075</v>
      </c>
      <c r="D738" s="2" t="s">
        <v>98</v>
      </c>
      <c r="E738" s="2" t="s">
        <v>98</v>
      </c>
      <c r="F738" s="2" t="s">
        <v>13</v>
      </c>
      <c r="G738" s="2" t="s">
        <v>14</v>
      </c>
      <c r="H738" s="4" t="str">
        <f>HYPERLINK("https://edu.cnr.cn/sy/sytjB/20250722/t20250722_527276074.shtml","https://edu.cnr.cn/sy/sytjB/20250722/t20250722_527276074.shtml")</f>
        <v>https://edu.cnr.cn/sy/sytjB/20250722/t20250722_527276074.shtml</v>
      </c>
      <c r="I738" s="3" t="s">
        <v>1058</v>
      </c>
      <c r="J738" t="s">
        <v>16</v>
      </c>
    </row>
    <row r="739" ht="23" customHeight="1" spans="1:10">
      <c r="A739" s="2">
        <v>738</v>
      </c>
      <c r="B739" s="3" t="s">
        <v>1055</v>
      </c>
      <c r="C739" s="2" t="s">
        <v>1076</v>
      </c>
      <c r="D739" s="2" t="s">
        <v>98</v>
      </c>
      <c r="E739" s="2" t="s">
        <v>544</v>
      </c>
      <c r="F739" s="2" t="s">
        <v>37</v>
      </c>
      <c r="G739" s="2" t="s">
        <v>14</v>
      </c>
      <c r="H739" s="4" t="str">
        <f>HYPERLINK("https://apicnrapp.cnr.cn/html/share.html?id=30107807","https://apicnrapp.cnr.cn/html/share.html?id=30107807")</f>
        <v>https://apicnrapp.cnr.cn/html/share.html?id=30107807</v>
      </c>
      <c r="I739" s="3" t="s">
        <v>1072</v>
      </c>
      <c r="J739" t="s">
        <v>16</v>
      </c>
    </row>
    <row r="740" ht="23" customHeight="1" spans="1:10">
      <c r="A740" s="2">
        <v>739</v>
      </c>
      <c r="B740" s="3" t="s">
        <v>1077</v>
      </c>
      <c r="C740" s="2" t="s">
        <v>1078</v>
      </c>
      <c r="D740" s="2" t="s">
        <v>11</v>
      </c>
      <c r="E740" s="2" t="s">
        <v>1061</v>
      </c>
      <c r="F740" s="2" t="s">
        <v>13</v>
      </c>
      <c r="G740" s="2" t="s">
        <v>21</v>
      </c>
      <c r="H740" s="4" t="str">
        <f>HYPERLINK("https://www.toutiao.com/article/7529627559034700297/","https://www.toutiao.com/article/7529627559034700297/")</f>
        <v>https://www.toutiao.com/article/7529627559034700297/</v>
      </c>
      <c r="I740" s="3" t="s">
        <v>1079</v>
      </c>
      <c r="J740" t="s">
        <v>16</v>
      </c>
    </row>
    <row r="741" ht="23" customHeight="1" spans="1:10">
      <c r="A741" s="2">
        <v>740</v>
      </c>
      <c r="B741" s="3" t="s">
        <v>1044</v>
      </c>
      <c r="C741" s="2" t="s">
        <v>1080</v>
      </c>
      <c r="D741" s="2" t="s">
        <v>46</v>
      </c>
      <c r="E741" s="2" t="s">
        <v>1081</v>
      </c>
      <c r="F741" s="2" t="s">
        <v>37</v>
      </c>
      <c r="G741" s="2" t="s">
        <v>26</v>
      </c>
      <c r="H741" s="4" t="str">
        <f>HYPERLINK("https://3g.k.sohu.com/t/n910917773?serialId=7416d7a6d44902c5481f21423d844330&amp;showType=910917773","https://3g.k.sohu.com/t/n910917773?serialId=7416d7a6d44902c5481f21423d844330&amp;showType=910917773")</f>
        <v>https://3g.k.sohu.com/t/n910917773?serialId=7416d7a6d44902c5481f21423d844330&amp;showType=910917773</v>
      </c>
      <c r="I741" s="3" t="s">
        <v>1082</v>
      </c>
      <c r="J741" t="s">
        <v>16</v>
      </c>
    </row>
    <row r="742" ht="23" customHeight="1" spans="1:10">
      <c r="A742" s="2">
        <v>741</v>
      </c>
      <c r="B742" s="3" t="s">
        <v>1044</v>
      </c>
      <c r="C742" s="2" t="s">
        <v>1083</v>
      </c>
      <c r="D742" s="2" t="s">
        <v>91</v>
      </c>
      <c r="E742" s="2" t="s">
        <v>1084</v>
      </c>
      <c r="F742" s="2" t="s">
        <v>91</v>
      </c>
      <c r="G742" s="2" t="s">
        <v>26</v>
      </c>
      <c r="H742" s="4" t="str">
        <f>HYPERLINK("http://mp.weixin.qq.com/s?__biz=MjM5NTEwMzg4Ng==&amp;mid=2655415959&amp;idx=2&amp;sn=87a316f7dd71f77030ddac31c7cd2f40","http://mp.weixin.qq.com/s?__biz=MjM5NTEwMzg4Ng==&amp;mid=2655415959&amp;idx=2&amp;sn=87a316f7dd71f77030ddac31c7cd2f40")</f>
        <v>http://mp.weixin.qq.com/s?__biz=MjM5NTEwMzg4Ng==&amp;mid=2655415959&amp;idx=2&amp;sn=87a316f7dd71f77030ddac31c7cd2f40</v>
      </c>
      <c r="I742" s="3" t="s">
        <v>1085</v>
      </c>
      <c r="J742" t="s">
        <v>16</v>
      </c>
    </row>
    <row r="743" ht="23" customHeight="1" spans="1:10">
      <c r="A743" s="2">
        <v>742</v>
      </c>
      <c r="B743" s="3" t="s">
        <v>1077</v>
      </c>
      <c r="C743" s="2" t="s">
        <v>1086</v>
      </c>
      <c r="D743" s="2" t="s">
        <v>91</v>
      </c>
      <c r="E743" s="2" t="s">
        <v>1061</v>
      </c>
      <c r="F743" s="2" t="s">
        <v>91</v>
      </c>
      <c r="G743" s="2" t="s">
        <v>21</v>
      </c>
      <c r="H743" s="4" t="str">
        <f>HYPERLINK("http://mp.weixin.qq.com/s?__biz=MzI5NDIzMzcxMw==&amp;mid=2651858650&amp;idx=1&amp;sn=1fcf691c535dcc50cba6876fd13f7b54","http://mp.weixin.qq.com/s?__biz=MzI5NDIzMzcxMw==&amp;mid=2651858650&amp;idx=1&amp;sn=1fcf691c535dcc50cba6876fd13f7b54")</f>
        <v>http://mp.weixin.qq.com/s?__biz=MzI5NDIzMzcxMw==&amp;mid=2651858650&amp;idx=1&amp;sn=1fcf691c535dcc50cba6876fd13f7b54</v>
      </c>
      <c r="I743" s="3" t="s">
        <v>1087</v>
      </c>
      <c r="J743" t="s">
        <v>16</v>
      </c>
    </row>
    <row r="744" ht="23" customHeight="1" spans="1:10">
      <c r="A744" s="2">
        <v>743</v>
      </c>
      <c r="B744" s="3" t="s">
        <v>1044</v>
      </c>
      <c r="C744" s="2" t="s">
        <v>1088</v>
      </c>
      <c r="D744" s="2" t="s">
        <v>11</v>
      </c>
      <c r="E744" s="2" t="s">
        <v>1089</v>
      </c>
      <c r="F744" s="2" t="s">
        <v>13</v>
      </c>
      <c r="G744" s="2" t="s">
        <v>14</v>
      </c>
      <c r="H744" s="4" t="str">
        <f>HYPERLINK("https://www.toutiao.com/article/7529442317057540648/","https://www.toutiao.com/article/7529442317057540648/")</f>
        <v>https://www.toutiao.com/article/7529442317057540648/</v>
      </c>
      <c r="I744" s="3" t="s">
        <v>1090</v>
      </c>
      <c r="J744" t="s">
        <v>16</v>
      </c>
    </row>
    <row r="745" ht="23" customHeight="1" spans="1:10">
      <c r="A745" s="2">
        <v>744</v>
      </c>
      <c r="B745" s="3" t="s">
        <v>1091</v>
      </c>
      <c r="C745" s="2" t="s">
        <v>1092</v>
      </c>
      <c r="D745" s="2" t="s">
        <v>40</v>
      </c>
      <c r="E745" s="2" t="s">
        <v>1089</v>
      </c>
      <c r="F745" s="2" t="s">
        <v>13</v>
      </c>
      <c r="G745" s="2" t="s">
        <v>14</v>
      </c>
      <c r="H745" s="4" t="str">
        <f>HYPERLINK("https://www.yoojia.com/article/9632349607364325823.html","https://www.yoojia.com/article/9632349607364325823.html")</f>
        <v>https://www.yoojia.com/article/9632349607364325823.html</v>
      </c>
      <c r="I745" s="3" t="s">
        <v>1090</v>
      </c>
      <c r="J745" t="s">
        <v>16</v>
      </c>
    </row>
    <row r="746" ht="23" customHeight="1" spans="1:10">
      <c r="A746" s="2">
        <v>745</v>
      </c>
      <c r="B746" s="3" t="s">
        <v>1091</v>
      </c>
      <c r="C746" s="2" t="s">
        <v>1092</v>
      </c>
      <c r="D746" s="2" t="s">
        <v>41</v>
      </c>
      <c r="E746" s="2" t="s">
        <v>1089</v>
      </c>
      <c r="F746" s="2" t="s">
        <v>13</v>
      </c>
      <c r="G746" s="2" t="s">
        <v>14</v>
      </c>
      <c r="H746" s="4" t="str">
        <f>HYPERLINK("https://mbd.baidu.com/newspage/data/landingshare?nid=news_9632349607364325823","https://mbd.baidu.com/newspage/data/landingshare?nid=news_9632349607364325823")</f>
        <v>https://mbd.baidu.com/newspage/data/landingshare?nid=news_9632349607364325823</v>
      </c>
      <c r="I746" s="3" t="s">
        <v>1090</v>
      </c>
      <c r="J746" t="s">
        <v>16</v>
      </c>
    </row>
    <row r="747" ht="23" customHeight="1" spans="1:10">
      <c r="A747" s="2">
        <v>746</v>
      </c>
      <c r="B747" s="3" t="s">
        <v>1044</v>
      </c>
      <c r="C747" s="2" t="s">
        <v>1093</v>
      </c>
      <c r="D747" s="2" t="s">
        <v>379</v>
      </c>
      <c r="E747" s="2" t="s">
        <v>1089</v>
      </c>
      <c r="F747" s="2" t="s">
        <v>13</v>
      </c>
      <c r="G747" s="2" t="s">
        <v>14</v>
      </c>
      <c r="H747" s="4" t="str">
        <f>HYPERLINK("http://www.yidianzixun.com/article/12Iql6Xh","http://www.yidianzixun.com/article/12Iql6Xh")</f>
        <v>http://www.yidianzixun.com/article/12Iql6Xh</v>
      </c>
      <c r="I747" s="3" t="s">
        <v>1094</v>
      </c>
      <c r="J747" t="s">
        <v>16</v>
      </c>
    </row>
    <row r="748" ht="23" customHeight="1" spans="1:10">
      <c r="A748" s="2">
        <v>747</v>
      </c>
      <c r="B748" s="3" t="s">
        <v>1095</v>
      </c>
      <c r="C748" s="2" t="s">
        <v>1096</v>
      </c>
      <c r="D748" s="2" t="s">
        <v>353</v>
      </c>
      <c r="E748" s="2" t="s">
        <v>544</v>
      </c>
      <c r="F748" s="2" t="s">
        <v>354</v>
      </c>
      <c r="G748" s="2" t="s">
        <v>14</v>
      </c>
      <c r="H748" s="4" t="str">
        <f>HYPERLINK("https://weibo.com/2384122784/PC7Up03eG","https://weibo.com/2384122784/PC7Up03eG")</f>
        <v>https://weibo.com/2384122784/PC7Up03eG</v>
      </c>
      <c r="I748" s="3" t="s">
        <v>1085</v>
      </c>
      <c r="J748" t="s">
        <v>16</v>
      </c>
    </row>
    <row r="749" ht="23" customHeight="1" spans="1:10">
      <c r="A749" s="2">
        <v>748</v>
      </c>
      <c r="B749" s="3" t="s">
        <v>1055</v>
      </c>
      <c r="C749" s="2" t="s">
        <v>1097</v>
      </c>
      <c r="D749" s="2" t="s">
        <v>1098</v>
      </c>
      <c r="E749" s="2" t="s">
        <v>1098</v>
      </c>
      <c r="F749" s="2" t="s">
        <v>13</v>
      </c>
      <c r="G749" s="2" t="s">
        <v>14</v>
      </c>
      <c r="H749" s="4" t="str">
        <f>HYPERLINK("http://www.cfgw.net.cn/xb/content/2025-07/21/content_25140801.html","http://www.cfgw.net.cn/xb/content/2025-07/21/content_25140801.html")</f>
        <v>http://www.cfgw.net.cn/xb/content/2025-07/21/content_25140801.html</v>
      </c>
      <c r="I749" s="3" t="s">
        <v>1099</v>
      </c>
      <c r="J749" t="s">
        <v>16</v>
      </c>
    </row>
    <row r="750" ht="23" customHeight="1" spans="1:10">
      <c r="A750" s="2">
        <v>749</v>
      </c>
      <c r="B750" s="3" t="s">
        <v>1044</v>
      </c>
      <c r="C750" s="2" t="s">
        <v>1100</v>
      </c>
      <c r="D750" s="2" t="s">
        <v>46</v>
      </c>
      <c r="E750" s="2" t="s">
        <v>1101</v>
      </c>
      <c r="F750" s="2" t="s">
        <v>37</v>
      </c>
      <c r="G750" s="2" t="s">
        <v>26</v>
      </c>
      <c r="H750" s="4" t="str">
        <f>HYPERLINK("https://3g.k.sohu.com/t/n910898169?serialId=f8b873cd84e67cec22290250947cd5e7&amp;showType=910898169","https://3g.k.sohu.com/t/n910898169?serialId=f8b873cd84e67cec22290250947cd5e7&amp;showType=910898169")</f>
        <v>https://3g.k.sohu.com/t/n910898169?serialId=f8b873cd84e67cec22290250947cd5e7&amp;showType=910898169</v>
      </c>
      <c r="I750" s="3" t="s">
        <v>1069</v>
      </c>
      <c r="J750" t="s">
        <v>16</v>
      </c>
    </row>
    <row r="751" ht="23" customHeight="1" spans="1:10">
      <c r="A751" s="2">
        <v>750</v>
      </c>
      <c r="B751" s="3" t="s">
        <v>1055</v>
      </c>
      <c r="C751" s="2" t="s">
        <v>1102</v>
      </c>
      <c r="D751" s="2" t="s">
        <v>41</v>
      </c>
      <c r="E751" s="2" t="s">
        <v>1098</v>
      </c>
      <c r="F751" s="2" t="s">
        <v>13</v>
      </c>
      <c r="G751" s="2" t="s">
        <v>14</v>
      </c>
      <c r="H751" s="4" t="str">
        <f>HYPERLINK("https://mbd.baidu.com/newspage/data/landingshare?nid=news_9577528704978433897","https://mbd.baidu.com/newspage/data/landingshare?nid=news_9577528704978433897")</f>
        <v>https://mbd.baidu.com/newspage/data/landingshare?nid=news_9577528704978433897</v>
      </c>
      <c r="I751" s="3" t="s">
        <v>1103</v>
      </c>
      <c r="J751" t="s">
        <v>16</v>
      </c>
    </row>
    <row r="752" ht="23" customHeight="1" spans="1:10">
      <c r="A752" s="2">
        <v>751</v>
      </c>
      <c r="B752" s="3" t="s">
        <v>1055</v>
      </c>
      <c r="C752" s="2" t="s">
        <v>1102</v>
      </c>
      <c r="D752" s="2" t="s">
        <v>40</v>
      </c>
      <c r="E752" s="2" t="s">
        <v>1098</v>
      </c>
      <c r="F752" s="2" t="s">
        <v>13</v>
      </c>
      <c r="G752" s="2" t="s">
        <v>14</v>
      </c>
      <c r="H752" s="4" t="str">
        <f>HYPERLINK("https://www.yoojia.com/article/9577528704978433897.html","https://www.yoojia.com/article/9577528704978433897.html")</f>
        <v>https://www.yoojia.com/article/9577528704978433897.html</v>
      </c>
      <c r="I752" s="3" t="s">
        <v>1103</v>
      </c>
      <c r="J752" t="s">
        <v>16</v>
      </c>
    </row>
    <row r="753" ht="23" customHeight="1" spans="1:10">
      <c r="A753" s="2">
        <v>752</v>
      </c>
      <c r="B753" s="3" t="s">
        <v>1055</v>
      </c>
      <c r="C753" s="2" t="s">
        <v>1104</v>
      </c>
      <c r="D753" s="2" t="s">
        <v>327</v>
      </c>
      <c r="E753" s="2" t="s">
        <v>369</v>
      </c>
      <c r="F753" s="2" t="s">
        <v>37</v>
      </c>
      <c r="G753" s="2" t="s">
        <v>26</v>
      </c>
      <c r="H753" s="4" t="str">
        <f>HYPERLINK("https://static.dingxinwen.com/dd-sharepage/detail/index.html?id=1458D2E147BD4F79#/","https://static.dingxinwen.com/dd-sharepage/detail/index.html?id=1458D2E147BD4F79#/")</f>
        <v>https://static.dingxinwen.com/dd-sharepage/detail/index.html?id=1458D2E147BD4F79#/</v>
      </c>
      <c r="I753" s="3" t="s">
        <v>1099</v>
      </c>
      <c r="J753" t="s">
        <v>16</v>
      </c>
    </row>
    <row r="754" ht="23" customHeight="1" spans="1:10">
      <c r="A754" s="2">
        <v>753</v>
      </c>
      <c r="B754" s="3" t="s">
        <v>1055</v>
      </c>
      <c r="C754" s="2" t="s">
        <v>1105</v>
      </c>
      <c r="D754" s="2" t="s">
        <v>360</v>
      </c>
      <c r="E754" s="2" t="s">
        <v>360</v>
      </c>
      <c r="F754" s="2" t="s">
        <v>13</v>
      </c>
      <c r="G754" s="2" t="s">
        <v>14</v>
      </c>
      <c r="H754" s="4" t="str">
        <f>HYPERLINK("https://news.cctv.com/2025/07/21/ARTIaig51xuFumx6OcUPve4g250721.shtml","https://news.cctv.com/2025/07/21/ARTIaig51xuFumx6OcUPve4g250721.shtml")</f>
        <v>https://news.cctv.com/2025/07/21/ARTIaig51xuFumx6OcUPve4g250721.shtml</v>
      </c>
      <c r="I754" s="3" t="s">
        <v>1103</v>
      </c>
      <c r="J754" t="s">
        <v>16</v>
      </c>
    </row>
    <row r="755" ht="23" customHeight="1" spans="1:10">
      <c r="A755" s="2">
        <v>754</v>
      </c>
      <c r="B755" s="3" t="s">
        <v>1044</v>
      </c>
      <c r="C755" s="2" t="s">
        <v>1106</v>
      </c>
      <c r="D755" s="2" t="s">
        <v>11</v>
      </c>
      <c r="E755" s="2" t="s">
        <v>126</v>
      </c>
      <c r="F755" s="2" t="s">
        <v>13</v>
      </c>
      <c r="G755" s="2" t="s">
        <v>21</v>
      </c>
      <c r="H755" s="4" t="str">
        <f>HYPERLINK("https://www.toutiao.com/article/7529417087673123354/","https://www.toutiao.com/article/7529417087673123354/")</f>
        <v>https://www.toutiao.com/article/7529417087673123354/</v>
      </c>
      <c r="I755" s="3" t="s">
        <v>1090</v>
      </c>
      <c r="J755" t="s">
        <v>16</v>
      </c>
    </row>
    <row r="756" ht="23" customHeight="1" spans="1:10">
      <c r="A756" s="2">
        <v>755</v>
      </c>
      <c r="B756" s="3" t="s">
        <v>1107</v>
      </c>
      <c r="C756" s="2" t="s">
        <v>1108</v>
      </c>
      <c r="D756" s="2" t="s">
        <v>41</v>
      </c>
      <c r="E756" s="2" t="s">
        <v>544</v>
      </c>
      <c r="F756" s="2" t="s">
        <v>13</v>
      </c>
      <c r="G756" s="2" t="s">
        <v>14</v>
      </c>
      <c r="H756" s="4" t="str">
        <f>HYPERLINK("https://mbd.baidu.com/newspage/data/landingshare?nid=news_9733425323397553438","https://mbd.baidu.com/newspage/data/landingshare?nid=news_9733425323397553438")</f>
        <v>https://mbd.baidu.com/newspage/data/landingshare?nid=news_9733425323397553438</v>
      </c>
      <c r="I756" s="3" t="s">
        <v>1072</v>
      </c>
      <c r="J756" t="s">
        <v>16</v>
      </c>
    </row>
    <row r="757" ht="23" customHeight="1" spans="1:10">
      <c r="A757" s="2">
        <v>756</v>
      </c>
      <c r="B757" s="3" t="s">
        <v>1107</v>
      </c>
      <c r="C757" s="2" t="s">
        <v>1108</v>
      </c>
      <c r="D757" s="2" t="s">
        <v>40</v>
      </c>
      <c r="E757" s="2" t="s">
        <v>544</v>
      </c>
      <c r="F757" s="2" t="s">
        <v>13</v>
      </c>
      <c r="G757" s="2" t="s">
        <v>14</v>
      </c>
      <c r="H757" s="4" t="str">
        <f>HYPERLINK("https://www.yoojia.com/article/9733425323397553438.html","https://www.yoojia.com/article/9733425323397553438.html")</f>
        <v>https://www.yoojia.com/article/9733425323397553438.html</v>
      </c>
      <c r="I757" s="3" t="s">
        <v>1072</v>
      </c>
      <c r="J757" t="s">
        <v>16</v>
      </c>
    </row>
    <row r="758" ht="23" customHeight="1" spans="1:10">
      <c r="A758" s="2">
        <v>757</v>
      </c>
      <c r="B758" s="3" t="s">
        <v>1044</v>
      </c>
      <c r="C758" s="2" t="s">
        <v>1109</v>
      </c>
      <c r="D758" s="2" t="s">
        <v>1110</v>
      </c>
      <c r="E758" s="2" t="s">
        <v>544</v>
      </c>
      <c r="F758" s="2" t="s">
        <v>37</v>
      </c>
      <c r="G758" s="2" t="s">
        <v>14</v>
      </c>
      <c r="H758" s="4" t="str">
        <f>HYPERLINK("http://fx.xwapp.moe.gov.cn/article/202507/687dba07001a451f99853f01.html","http://fx.xwapp.moe.gov.cn/article/202507/687dba07001a451f99853f01.html")</f>
        <v>http://fx.xwapp.moe.gov.cn/article/202507/687dba07001a451f99853f01.html</v>
      </c>
      <c r="I758" s="3" t="s">
        <v>1090</v>
      </c>
      <c r="J758" t="s">
        <v>16</v>
      </c>
    </row>
    <row r="759" ht="23" customHeight="1" spans="1:10">
      <c r="A759" s="2">
        <v>758</v>
      </c>
      <c r="B759" s="3" t="s">
        <v>1044</v>
      </c>
      <c r="C759" s="2" t="s">
        <v>1111</v>
      </c>
      <c r="D759" s="2" t="s">
        <v>562</v>
      </c>
      <c r="E759" s="2" t="s">
        <v>562</v>
      </c>
      <c r="F759" s="2" t="s">
        <v>13</v>
      </c>
      <c r="G759" s="2" t="s">
        <v>21</v>
      </c>
      <c r="H759" s="4" t="str">
        <f>HYPERLINK("http://edu.yunnan.cn/system/2025/07/21/033552513.shtml","http://edu.yunnan.cn/system/2025/07/21/033552513.shtml")</f>
        <v>http://edu.yunnan.cn/system/2025/07/21/033552513.shtml</v>
      </c>
      <c r="I759" s="3" t="s">
        <v>1094</v>
      </c>
      <c r="J759" t="s">
        <v>16</v>
      </c>
    </row>
    <row r="760" ht="23" customHeight="1" spans="1:10">
      <c r="A760" s="2">
        <v>759</v>
      </c>
      <c r="B760" s="3" t="s">
        <v>1044</v>
      </c>
      <c r="C760" s="2" t="s">
        <v>1112</v>
      </c>
      <c r="D760" s="2" t="s">
        <v>19</v>
      </c>
      <c r="E760" s="2" t="s">
        <v>1089</v>
      </c>
      <c r="F760" s="2" t="s">
        <v>37</v>
      </c>
      <c r="G760" s="2" t="s">
        <v>14</v>
      </c>
      <c r="H760" s="4" t="str">
        <f>HYPERLINK("https://c.m.163.com/news/a/K507F3E7051485CG.html","https://c.m.163.com/news/a/K507F3E7051485CG.html")</f>
        <v>https://c.m.163.com/news/a/K507F3E7051485CG.html</v>
      </c>
      <c r="I760" s="3" t="s">
        <v>1094</v>
      </c>
      <c r="J760" t="s">
        <v>16</v>
      </c>
    </row>
    <row r="761" ht="23" customHeight="1" spans="1:10">
      <c r="A761" s="2">
        <v>760</v>
      </c>
      <c r="B761" s="3" t="s">
        <v>1044</v>
      </c>
      <c r="C761" s="2" t="s">
        <v>1113</v>
      </c>
      <c r="D761" s="2" t="s">
        <v>81</v>
      </c>
      <c r="E761" s="2" t="s">
        <v>1089</v>
      </c>
      <c r="F761" s="2" t="s">
        <v>13</v>
      </c>
      <c r="G761" s="2" t="s">
        <v>14</v>
      </c>
      <c r="H761" s="4" t="str">
        <f>HYPERLINK("https://www.thepaper.cn/newsDetail_forward_31228969","https://www.thepaper.cn/newsDetail_forward_31228969")</f>
        <v>https://www.thepaper.cn/newsDetail_forward_31228969</v>
      </c>
      <c r="I761" s="3" t="s">
        <v>1094</v>
      </c>
      <c r="J761" t="s">
        <v>16</v>
      </c>
    </row>
    <row r="762" ht="23" customHeight="1" spans="1:10">
      <c r="A762" s="2">
        <v>761</v>
      </c>
      <c r="B762" s="3" t="s">
        <v>1044</v>
      </c>
      <c r="C762" s="2" t="s">
        <v>1114</v>
      </c>
      <c r="D762" s="2" t="s">
        <v>107</v>
      </c>
      <c r="E762" s="2" t="s">
        <v>1089</v>
      </c>
      <c r="F762" s="2" t="s">
        <v>13</v>
      </c>
      <c r="G762" s="2" t="s">
        <v>14</v>
      </c>
      <c r="H762" s="4" t="str">
        <f>HYPERLINK("https://k.sina.cn/article_2737798435_a32f7d2301901awks.html","https://k.sina.cn/article_2737798435_a32f7d2301901awks.html")</f>
        <v>https://k.sina.cn/article_2737798435_a32f7d2301901awks.html</v>
      </c>
      <c r="I762" s="3" t="s">
        <v>1085</v>
      </c>
      <c r="J762" t="s">
        <v>16</v>
      </c>
    </row>
    <row r="763" ht="23" customHeight="1" spans="1:10">
      <c r="A763" s="2">
        <v>762</v>
      </c>
      <c r="B763" s="3" t="s">
        <v>1044</v>
      </c>
      <c r="C763" s="2" t="s">
        <v>1114</v>
      </c>
      <c r="D763" s="2" t="s">
        <v>29</v>
      </c>
      <c r="E763" s="2" t="s">
        <v>1115</v>
      </c>
      <c r="F763" s="2" t="s">
        <v>13</v>
      </c>
      <c r="G763" s="2" t="s">
        <v>14</v>
      </c>
      <c r="H763" s="4" t="str">
        <f>HYPERLINK("https://finance.sina.cn/2025-07-21/detail-infheytw3233735.d.html","https://finance.sina.cn/2025-07-21/detail-infheytw3233735.d.html")</f>
        <v>https://finance.sina.cn/2025-07-21/detail-infheytw3233735.d.html</v>
      </c>
      <c r="I763" s="3" t="s">
        <v>1085</v>
      </c>
      <c r="J763" t="s">
        <v>16</v>
      </c>
    </row>
    <row r="764" ht="23" customHeight="1" spans="1:10">
      <c r="A764" s="2">
        <v>763</v>
      </c>
      <c r="B764" s="3" t="s">
        <v>1116</v>
      </c>
      <c r="C764" s="2" t="s">
        <v>1114</v>
      </c>
      <c r="D764" s="2" t="s">
        <v>34</v>
      </c>
      <c r="E764" s="2" t="s">
        <v>1089</v>
      </c>
      <c r="F764" s="2" t="s">
        <v>13</v>
      </c>
      <c r="G764" s="2" t="s">
        <v>14</v>
      </c>
      <c r="H764" s="4" t="str">
        <f>HYPERLINK("https://kandianshare.html5.qq.com/v2/news/5263880821232357698","https://kandianshare.html5.qq.com/v2/news/5263880821232357698")</f>
        <v>https://kandianshare.html5.qq.com/v2/news/5263880821232357698</v>
      </c>
      <c r="I764" s="3" t="s">
        <v>1094</v>
      </c>
      <c r="J764" t="s">
        <v>16</v>
      </c>
    </row>
    <row r="765" ht="23" customHeight="1" spans="1:10">
      <c r="A765" s="2">
        <v>764</v>
      </c>
      <c r="B765" s="3" t="s">
        <v>1116</v>
      </c>
      <c r="C765" s="2" t="s">
        <v>1114</v>
      </c>
      <c r="D765" s="2" t="s">
        <v>35</v>
      </c>
      <c r="E765" s="2" t="s">
        <v>1089</v>
      </c>
      <c r="F765" s="2" t="s">
        <v>13</v>
      </c>
      <c r="G765" s="2" t="s">
        <v>14</v>
      </c>
      <c r="H765" s="4" t="str">
        <f>HYPERLINK("https://new.qq.com/rain/a/20250721A04VFR00","https://new.qq.com/rain/a/20250721A04VFR00")</f>
        <v>https://new.qq.com/rain/a/20250721A04VFR00</v>
      </c>
      <c r="I765" s="3" t="s">
        <v>1094</v>
      </c>
      <c r="J765" t="s">
        <v>16</v>
      </c>
    </row>
    <row r="766" ht="23" customHeight="1" spans="1:10">
      <c r="A766" s="2">
        <v>765</v>
      </c>
      <c r="B766" s="3" t="s">
        <v>1117</v>
      </c>
      <c r="C766" s="2" t="s">
        <v>1118</v>
      </c>
      <c r="D766" s="2" t="s">
        <v>1119</v>
      </c>
      <c r="E766" s="2" t="s">
        <v>1119</v>
      </c>
      <c r="F766" s="2" t="s">
        <v>13</v>
      </c>
      <c r="G766" s="2" t="s">
        <v>26</v>
      </c>
      <c r="H766" s="4" t="str">
        <f>HYPERLINK("http://www.yzbln.com/news/77438-0.html","http://www.yzbln.com/news/77438-0.html")</f>
        <v>http://www.yzbln.com/news/77438-0.html</v>
      </c>
      <c r="I766" s="3" t="s">
        <v>1120</v>
      </c>
      <c r="J766" t="s">
        <v>16</v>
      </c>
    </row>
    <row r="767" ht="23" customHeight="1" spans="1:10">
      <c r="A767" s="2">
        <v>766</v>
      </c>
      <c r="B767" s="3" t="s">
        <v>1121</v>
      </c>
      <c r="C767" s="2" t="s">
        <v>1122</v>
      </c>
      <c r="D767" s="2" t="s">
        <v>544</v>
      </c>
      <c r="E767" s="2" t="s">
        <v>544</v>
      </c>
      <c r="F767" s="2" t="s">
        <v>37</v>
      </c>
      <c r="G767" s="2" t="s">
        <v>14</v>
      </c>
      <c r="H767" s="4" t="str">
        <f>HYPERLINK("https://share.app3.jyb.cn/news_d/3600d7507c35e88a953205d6e1522bc2","https://share.app3.jyb.cn/news_d/3600d7507c35e88a953205d6e1522bc2")</f>
        <v>https://share.app3.jyb.cn/news_d/3600d7507c35e88a953205d6e1522bc2</v>
      </c>
      <c r="I767" s="3" t="s">
        <v>1072</v>
      </c>
      <c r="J767" t="s">
        <v>16</v>
      </c>
    </row>
    <row r="768" ht="23" customHeight="1" spans="1:10">
      <c r="A768" s="2">
        <v>767</v>
      </c>
      <c r="B768" s="3" t="s">
        <v>1123</v>
      </c>
      <c r="C768" s="2" t="s">
        <v>1124</v>
      </c>
      <c r="D768" s="2" t="s">
        <v>11</v>
      </c>
      <c r="E768" s="2" t="s">
        <v>555</v>
      </c>
      <c r="F768" s="2" t="s">
        <v>13</v>
      </c>
      <c r="G768" s="2" t="s">
        <v>14</v>
      </c>
      <c r="H768" s="4" t="str">
        <f>HYPERLINK("https://www.toutiao.com/w/1838220017805322/","https://www.toutiao.com/w/1838220017805322/")</f>
        <v>https://www.toutiao.com/w/1838220017805322/</v>
      </c>
      <c r="I768" s="3" t="s">
        <v>1125</v>
      </c>
      <c r="J768" t="s">
        <v>16</v>
      </c>
    </row>
    <row r="769" ht="23" customHeight="1" spans="1:10">
      <c r="A769" s="2">
        <v>768</v>
      </c>
      <c r="B769" s="3" t="s">
        <v>1123</v>
      </c>
      <c r="C769" s="2" t="s">
        <v>1126</v>
      </c>
      <c r="D769" s="2" t="s">
        <v>353</v>
      </c>
      <c r="E769" s="2" t="s">
        <v>555</v>
      </c>
      <c r="F769" s="2" t="s">
        <v>354</v>
      </c>
      <c r="G769" s="2" t="s">
        <v>14</v>
      </c>
      <c r="H769" s="4" t="str">
        <f>HYPERLINK("https://weibo.com/1747774447/PC5KjdaZO","https://weibo.com/1747774447/PC5KjdaZO")</f>
        <v>https://weibo.com/1747774447/PC5KjdaZO</v>
      </c>
      <c r="I769" s="3" t="s">
        <v>1127</v>
      </c>
      <c r="J769" t="s">
        <v>16</v>
      </c>
    </row>
    <row r="770" ht="23" customHeight="1" spans="1:10">
      <c r="A770" s="2">
        <v>769</v>
      </c>
      <c r="B770" s="3" t="s">
        <v>1055</v>
      </c>
      <c r="C770" s="2" t="s">
        <v>1128</v>
      </c>
      <c r="D770" s="2" t="s">
        <v>1129</v>
      </c>
      <c r="E770" s="2" t="s">
        <v>1129</v>
      </c>
      <c r="F770" s="2" t="s">
        <v>13</v>
      </c>
      <c r="G770" s="2" t="s">
        <v>14</v>
      </c>
      <c r="H770" s="4" t="str">
        <f>HYPERLINK("https://txs.youth.cn/xw/202507/t20250721_16128432.htm","https://txs.youth.cn/xw/202507/t20250721_16128432.htm")</f>
        <v>https://txs.youth.cn/xw/202507/t20250721_16128432.htm</v>
      </c>
      <c r="I770" s="3" t="s">
        <v>1058</v>
      </c>
      <c r="J770" t="s">
        <v>16</v>
      </c>
    </row>
    <row r="771" ht="23" customHeight="1" spans="1:10">
      <c r="A771" s="2">
        <v>770</v>
      </c>
      <c r="B771" s="3" t="s">
        <v>1055</v>
      </c>
      <c r="C771" s="2" t="s">
        <v>1130</v>
      </c>
      <c r="D771" s="2" t="s">
        <v>555</v>
      </c>
      <c r="E771" s="2" t="s">
        <v>567</v>
      </c>
      <c r="F771" s="2" t="s">
        <v>13</v>
      </c>
      <c r="G771" s="2" t="s">
        <v>14</v>
      </c>
      <c r="H771" s="4" t="str">
        <f>HYPERLINK("http://www.jyb.cn/rmtzgjyb/202507/t20250721_2111371809.html","http://www.jyb.cn/rmtzgjyb/202507/t20250721_2111371809.html")</f>
        <v>http://www.jyb.cn/rmtzgjyb/202507/t20250721_2111371809.html</v>
      </c>
      <c r="I771" s="3" t="s">
        <v>1103</v>
      </c>
      <c r="J771" t="s">
        <v>16</v>
      </c>
    </row>
    <row r="772" ht="23" customHeight="1" spans="1:10">
      <c r="A772" s="2">
        <v>771</v>
      </c>
      <c r="B772" s="3" t="s">
        <v>1121</v>
      </c>
      <c r="C772" s="2" t="s">
        <v>1131</v>
      </c>
      <c r="D772" s="2" t="s">
        <v>555</v>
      </c>
      <c r="E772" s="2" t="s">
        <v>567</v>
      </c>
      <c r="F772" s="2" t="s">
        <v>13</v>
      </c>
      <c r="G772" s="2" t="s">
        <v>14</v>
      </c>
      <c r="H772" s="4" t="str">
        <f>HYPERLINK("http://www.jyb.cn/rmtzgjyb/202507/t20250721_2111371817.html","http://www.jyb.cn/rmtzgjyb/202507/t20250721_2111371817.html")</f>
        <v>http://www.jyb.cn/rmtzgjyb/202507/t20250721_2111371817.html</v>
      </c>
      <c r="I772" s="3" t="s">
        <v>1132</v>
      </c>
      <c r="J772" t="s">
        <v>16</v>
      </c>
    </row>
    <row r="773" ht="23" customHeight="1" spans="1:10">
      <c r="A773" s="2">
        <v>772</v>
      </c>
      <c r="B773" s="3" t="s">
        <v>1091</v>
      </c>
      <c r="C773" s="2" t="s">
        <v>1133</v>
      </c>
      <c r="D773" s="2" t="s">
        <v>40</v>
      </c>
      <c r="E773" s="2" t="s">
        <v>544</v>
      </c>
      <c r="F773" s="2" t="s">
        <v>13</v>
      </c>
      <c r="G773" s="2" t="s">
        <v>14</v>
      </c>
      <c r="H773" s="4" t="str">
        <f>HYPERLINK("https://www.yoojia.com/article/9858113833290185874.html","https://www.yoojia.com/article/9858113833290185874.html")</f>
        <v>https://www.yoojia.com/article/9858113833290185874.html</v>
      </c>
      <c r="I773" s="3" t="s">
        <v>1134</v>
      </c>
      <c r="J773" t="s">
        <v>16</v>
      </c>
    </row>
    <row r="774" ht="23" customHeight="1" spans="1:10">
      <c r="A774" s="2">
        <v>773</v>
      </c>
      <c r="B774" s="3" t="s">
        <v>1091</v>
      </c>
      <c r="C774" s="2" t="s">
        <v>1133</v>
      </c>
      <c r="D774" s="2" t="s">
        <v>41</v>
      </c>
      <c r="E774" s="2" t="s">
        <v>544</v>
      </c>
      <c r="F774" s="2" t="s">
        <v>13</v>
      </c>
      <c r="G774" s="2" t="s">
        <v>14</v>
      </c>
      <c r="H774" s="4" t="str">
        <f>HYPERLINK("https://mbd.baidu.com/newspage/data/landingshare?nid=news_9858113833290185874","https://mbd.baidu.com/newspage/data/landingshare?nid=news_9858113833290185874")</f>
        <v>https://mbd.baidu.com/newspage/data/landingshare?nid=news_9858113833290185874</v>
      </c>
      <c r="I774" s="3" t="s">
        <v>1134</v>
      </c>
      <c r="J774" t="s">
        <v>16</v>
      </c>
    </row>
    <row r="775" ht="23" customHeight="1" spans="1:10">
      <c r="A775" s="2">
        <v>774</v>
      </c>
      <c r="B775" s="3" t="s">
        <v>1044</v>
      </c>
      <c r="C775" s="2" t="s">
        <v>1135</v>
      </c>
      <c r="D775" s="2" t="s">
        <v>327</v>
      </c>
      <c r="E775" s="2" t="s">
        <v>1136</v>
      </c>
      <c r="F775" s="2" t="s">
        <v>37</v>
      </c>
      <c r="G775" s="2" t="s">
        <v>26</v>
      </c>
      <c r="H775" s="4" t="str">
        <f>HYPERLINK("https://static.dingxinwen.com/dd-sharepage/detail/index.html?id=1458D2E141BE4A76#/","https://static.dingxinwen.com/dd-sharepage/detail/index.html?id=1458D2E141BE4A76#/")</f>
        <v>https://static.dingxinwen.com/dd-sharepage/detail/index.html?id=1458D2E141BE4A76#/</v>
      </c>
      <c r="I775" s="3" t="s">
        <v>1137</v>
      </c>
      <c r="J775" t="s">
        <v>16</v>
      </c>
    </row>
    <row r="776" ht="23" customHeight="1" spans="1:10">
      <c r="A776" s="2">
        <v>775</v>
      </c>
      <c r="B776" s="3" t="s">
        <v>1044</v>
      </c>
      <c r="C776" s="2" t="s">
        <v>1138</v>
      </c>
      <c r="D776" s="2" t="s">
        <v>19</v>
      </c>
      <c r="E776" s="2" t="s">
        <v>544</v>
      </c>
      <c r="F776" s="2" t="s">
        <v>37</v>
      </c>
      <c r="G776" s="2" t="s">
        <v>14</v>
      </c>
      <c r="H776" s="4" t="str">
        <f>HYPERLINK("https://c.m.163.com/news/a/K4VQ5167051496VC.html","https://c.m.163.com/news/a/K4VQ5167051496VC.html")</f>
        <v>https://c.m.163.com/news/a/K4VQ5167051496VC.html</v>
      </c>
      <c r="I776" s="3" t="s">
        <v>1085</v>
      </c>
      <c r="J776" t="s">
        <v>16</v>
      </c>
    </row>
    <row r="777" ht="23" customHeight="1" spans="1:10">
      <c r="A777" s="2">
        <v>776</v>
      </c>
      <c r="B777" s="3" t="s">
        <v>1044</v>
      </c>
      <c r="C777" s="2" t="s">
        <v>1139</v>
      </c>
      <c r="D777" s="2" t="s">
        <v>91</v>
      </c>
      <c r="E777" s="2" t="s">
        <v>544</v>
      </c>
      <c r="F777" s="2" t="s">
        <v>91</v>
      </c>
      <c r="G777" s="2" t="s">
        <v>14</v>
      </c>
      <c r="H777" s="4" t="str">
        <f>HYPERLINK("http://mp.weixin.qq.com/s?__biz=MjM5OTU5MzcyMg==&amp;mid=2653726022&amp;idx=1&amp;sn=589557182024d79942f823d1196ce55c","http://mp.weixin.qq.com/s?__biz=MjM5OTU5MzcyMg==&amp;mid=2653726022&amp;idx=1&amp;sn=589557182024d79942f823d1196ce55c")</f>
        <v>http://mp.weixin.qq.com/s?__biz=MjM5OTU5MzcyMg==&amp;mid=2653726022&amp;idx=1&amp;sn=589557182024d79942f823d1196ce55c</v>
      </c>
      <c r="I777" s="3" t="s">
        <v>1085</v>
      </c>
      <c r="J777" t="s">
        <v>16</v>
      </c>
    </row>
    <row r="778" ht="23" customHeight="1" spans="1:10">
      <c r="A778" s="2">
        <v>777</v>
      </c>
      <c r="B778" s="3" t="s">
        <v>1044</v>
      </c>
      <c r="C778" s="2" t="s">
        <v>1139</v>
      </c>
      <c r="D778" s="2" t="s">
        <v>379</v>
      </c>
      <c r="E778" s="2" t="s">
        <v>544</v>
      </c>
      <c r="F778" s="2" t="s">
        <v>13</v>
      </c>
      <c r="G778" s="2" t="s">
        <v>14</v>
      </c>
      <c r="H778" s="4" t="str">
        <f>HYPERLINK("http://www.yidianzixun.com/article/12ID4Pps","http://www.yidianzixun.com/article/12ID4Pps")</f>
        <v>http://www.yidianzixun.com/article/12ID4Pps</v>
      </c>
      <c r="I778" s="3" t="s">
        <v>1140</v>
      </c>
      <c r="J778" t="s">
        <v>16</v>
      </c>
    </row>
    <row r="779" ht="23" customHeight="1" spans="1:10">
      <c r="A779" s="2">
        <v>778</v>
      </c>
      <c r="B779" s="3" t="s">
        <v>1116</v>
      </c>
      <c r="C779" s="2" t="s">
        <v>1139</v>
      </c>
      <c r="D779" s="2" t="s">
        <v>34</v>
      </c>
      <c r="E779" s="2" t="s">
        <v>544</v>
      </c>
      <c r="F779" s="2" t="s">
        <v>13</v>
      </c>
      <c r="G779" s="2" t="s">
        <v>14</v>
      </c>
      <c r="H779" s="4" t="str">
        <f>HYPERLINK("https://kandianshare.html5.qq.com/v2/news/3741664118652133698","https://kandianshare.html5.qq.com/v2/news/3741664118652133698")</f>
        <v>https://kandianshare.html5.qq.com/v2/news/3741664118652133698</v>
      </c>
      <c r="I779" s="3" t="s">
        <v>1085</v>
      </c>
      <c r="J779" t="s">
        <v>16</v>
      </c>
    </row>
    <row r="780" ht="23" customHeight="1" spans="1:10">
      <c r="A780" s="2">
        <v>779</v>
      </c>
      <c r="B780" s="3" t="s">
        <v>1044</v>
      </c>
      <c r="C780" s="2" t="s">
        <v>1141</v>
      </c>
      <c r="D780" s="2" t="s">
        <v>46</v>
      </c>
      <c r="E780" s="2" t="s">
        <v>544</v>
      </c>
      <c r="F780" s="2" t="s">
        <v>37</v>
      </c>
      <c r="G780" s="2" t="s">
        <v>14</v>
      </c>
      <c r="H780" s="4" t="str">
        <f>HYPERLINK("https://3g.k.sohu.com/t/n910655571?serialId=1b4f3dee29144f778b956a676fef05da&amp;showType=910655571","https://3g.k.sohu.com/t/n910655571?serialId=1b4f3dee29144f778b956a676fef05da&amp;showType=910655571")</f>
        <v>https://3g.k.sohu.com/t/n910655571?serialId=1b4f3dee29144f778b956a676fef05da&amp;showType=910655571</v>
      </c>
      <c r="I780" s="3" t="s">
        <v>1142</v>
      </c>
      <c r="J780" t="s">
        <v>16</v>
      </c>
    </row>
    <row r="781" ht="23" customHeight="1" spans="1:10">
      <c r="A781" s="2">
        <v>780</v>
      </c>
      <c r="B781" s="3" t="s">
        <v>1044</v>
      </c>
      <c r="C781" s="2" t="s">
        <v>1141</v>
      </c>
      <c r="D781" s="2" t="s">
        <v>46</v>
      </c>
      <c r="E781" s="2" t="s">
        <v>544</v>
      </c>
      <c r="F781" s="2" t="s">
        <v>13</v>
      </c>
      <c r="G781" s="2" t="s">
        <v>14</v>
      </c>
      <c r="H781" s="4" t="str">
        <f>HYPERLINK("https://www.sohu.com/a/915891828_120074","https://www.sohu.com/a/915891828_120074")</f>
        <v>https://www.sohu.com/a/915891828_120074</v>
      </c>
      <c r="I781" s="3" t="s">
        <v>1085</v>
      </c>
      <c r="J781" t="s">
        <v>16</v>
      </c>
    </row>
    <row r="782" ht="23" customHeight="1" spans="1:10">
      <c r="A782" s="2">
        <v>781</v>
      </c>
      <c r="B782" s="3" t="s">
        <v>1055</v>
      </c>
      <c r="C782" s="2" t="s">
        <v>1143</v>
      </c>
      <c r="D782" s="2" t="s">
        <v>40</v>
      </c>
      <c r="E782" s="2" t="s">
        <v>555</v>
      </c>
      <c r="F782" s="2" t="s">
        <v>13</v>
      </c>
      <c r="G782" s="2" t="s">
        <v>14</v>
      </c>
      <c r="H782" s="4" t="str">
        <f>HYPERLINK("https://www.yoojia.com/article/9964019720936425075.html","https://www.yoojia.com/article/9964019720936425075.html")</f>
        <v>https://www.yoojia.com/article/9964019720936425075.html</v>
      </c>
      <c r="I782" s="3" t="s">
        <v>1144</v>
      </c>
      <c r="J782" t="s">
        <v>16</v>
      </c>
    </row>
    <row r="783" ht="23" customHeight="1" spans="1:10">
      <c r="A783" s="2">
        <v>782</v>
      </c>
      <c r="B783" s="3" t="s">
        <v>1055</v>
      </c>
      <c r="C783" s="2" t="s">
        <v>1143</v>
      </c>
      <c r="D783" s="2" t="s">
        <v>41</v>
      </c>
      <c r="E783" s="2" t="s">
        <v>555</v>
      </c>
      <c r="F783" s="2" t="s">
        <v>13</v>
      </c>
      <c r="G783" s="2" t="s">
        <v>14</v>
      </c>
      <c r="H783" s="4" t="str">
        <f>HYPERLINK("https://mbd.baidu.com/newspage/data/landingshare?nid=news_9964019720936425075","https://mbd.baidu.com/newspage/data/landingshare?nid=news_9964019720936425075")</f>
        <v>https://mbd.baidu.com/newspage/data/landingshare?nid=news_9964019720936425075</v>
      </c>
      <c r="I783" s="3" t="s">
        <v>1144</v>
      </c>
      <c r="J783" t="s">
        <v>16</v>
      </c>
    </row>
    <row r="784" ht="23" customHeight="1" spans="1:10">
      <c r="A784" s="2">
        <v>783</v>
      </c>
      <c r="B784" s="3" t="s">
        <v>1055</v>
      </c>
      <c r="C784" s="2" t="s">
        <v>1145</v>
      </c>
      <c r="D784" s="2" t="s">
        <v>19</v>
      </c>
      <c r="E784" s="2" t="s">
        <v>555</v>
      </c>
      <c r="F784" s="2" t="s">
        <v>37</v>
      </c>
      <c r="G784" s="2" t="s">
        <v>14</v>
      </c>
      <c r="H784" s="4" t="str">
        <f>HYPERLINK("https://c.m.163.com/news/a/K4VLUNOE0550CBNY.html","https://c.m.163.com/news/a/K4VLUNOE0550CBNY.html")</f>
        <v>https://c.m.163.com/news/a/K4VLUNOE0550CBNY.html</v>
      </c>
      <c r="I784" s="3" t="s">
        <v>1132</v>
      </c>
      <c r="J784" t="s">
        <v>16</v>
      </c>
    </row>
    <row r="785" ht="23" customHeight="1" spans="1:10">
      <c r="A785" s="2">
        <v>784</v>
      </c>
      <c r="B785" s="3" t="s">
        <v>1055</v>
      </c>
      <c r="C785" s="2" t="s">
        <v>1146</v>
      </c>
      <c r="D785" s="2" t="s">
        <v>41</v>
      </c>
      <c r="E785" s="2" t="s">
        <v>555</v>
      </c>
      <c r="F785" s="2" t="s">
        <v>13</v>
      </c>
      <c r="G785" s="2" t="s">
        <v>14</v>
      </c>
      <c r="H785" s="4" t="str">
        <f>HYPERLINK("https://mbd.baidu.com/newspage/data/landingshare?nid=news_9193658679862856367","https://mbd.baidu.com/newspage/data/landingshare?nid=news_9193658679862856367")</f>
        <v>https://mbd.baidu.com/newspage/data/landingshare?nid=news_9193658679862856367</v>
      </c>
      <c r="I785" s="3" t="s">
        <v>1144</v>
      </c>
      <c r="J785" t="s">
        <v>16</v>
      </c>
    </row>
    <row r="786" ht="23" customHeight="1" spans="1:10">
      <c r="A786" s="2">
        <v>785</v>
      </c>
      <c r="B786" s="3" t="s">
        <v>1055</v>
      </c>
      <c r="C786" s="2" t="s">
        <v>1146</v>
      </c>
      <c r="D786" s="2" t="s">
        <v>46</v>
      </c>
      <c r="E786" s="2" t="s">
        <v>555</v>
      </c>
      <c r="F786" s="2" t="s">
        <v>37</v>
      </c>
      <c r="G786" s="2" t="s">
        <v>14</v>
      </c>
      <c r="H786" s="4" t="str">
        <f>HYPERLINK("https://3g.k.sohu.com/t/n910757329?serialId=2e1bbebfb9284cd8222dd2741b594a47&amp;showType=910757329","https://3g.k.sohu.com/t/n910757329?serialId=2e1bbebfb9284cd8222dd2741b594a47&amp;showType=910757329")</f>
        <v>https://3g.k.sohu.com/t/n910757329?serialId=2e1bbebfb9284cd8222dd2741b594a47&amp;showType=910757329</v>
      </c>
      <c r="I786" s="3" t="s">
        <v>1147</v>
      </c>
      <c r="J786" t="s">
        <v>16</v>
      </c>
    </row>
    <row r="787" ht="23" customHeight="1" spans="1:10">
      <c r="A787" s="2">
        <v>786</v>
      </c>
      <c r="B787" s="3" t="s">
        <v>1055</v>
      </c>
      <c r="C787" s="2" t="s">
        <v>1146</v>
      </c>
      <c r="D787" s="2" t="s">
        <v>46</v>
      </c>
      <c r="E787" s="2" t="s">
        <v>555</v>
      </c>
      <c r="F787" s="2" t="s">
        <v>13</v>
      </c>
      <c r="G787" s="2" t="s">
        <v>14</v>
      </c>
      <c r="H787" s="4" t="str">
        <f>HYPERLINK("https://www.sohu.com/a/915872003_243614","https://www.sohu.com/a/915872003_243614")</f>
        <v>https://www.sohu.com/a/915872003_243614</v>
      </c>
      <c r="I787" s="3" t="s">
        <v>1099</v>
      </c>
      <c r="J787" t="s">
        <v>16</v>
      </c>
    </row>
    <row r="788" ht="23" customHeight="1" spans="1:10">
      <c r="A788" s="2">
        <v>787</v>
      </c>
      <c r="B788" s="3" t="s">
        <v>1055</v>
      </c>
      <c r="C788" s="2" t="s">
        <v>1146</v>
      </c>
      <c r="D788" s="2" t="s">
        <v>40</v>
      </c>
      <c r="E788" s="2" t="s">
        <v>555</v>
      </c>
      <c r="F788" s="2" t="s">
        <v>13</v>
      </c>
      <c r="G788" s="2" t="s">
        <v>14</v>
      </c>
      <c r="H788" s="4" t="str">
        <f>HYPERLINK("https://www.yoojia.com/article/9193658679862856367.html","https://www.yoojia.com/article/9193658679862856367.html")</f>
        <v>https://www.yoojia.com/article/9193658679862856367.html</v>
      </c>
      <c r="I788" s="3" t="s">
        <v>1144</v>
      </c>
      <c r="J788" t="s">
        <v>16</v>
      </c>
    </row>
    <row r="789" ht="23" customHeight="1" spans="1:10">
      <c r="A789" s="2">
        <v>788</v>
      </c>
      <c r="B789" s="3" t="s">
        <v>1148</v>
      </c>
      <c r="C789" s="2" t="s">
        <v>1149</v>
      </c>
      <c r="D789" s="2" t="s">
        <v>19</v>
      </c>
      <c r="E789" s="2" t="s">
        <v>20</v>
      </c>
      <c r="F789" s="2" t="s">
        <v>37</v>
      </c>
      <c r="G789" s="2" t="s">
        <v>21</v>
      </c>
      <c r="H789" s="4" t="str">
        <f>HYPERLINK("https://c.m.163.com/news/a/K4LJ5NO5055040N3.html","https://c.m.163.com/news/a/K4LJ5NO5055040N3.html")</f>
        <v>https://c.m.163.com/news/a/K4LJ5NO5055040N3.html</v>
      </c>
      <c r="I789" s="3" t="s">
        <v>1150</v>
      </c>
      <c r="J789" t="s">
        <v>16</v>
      </c>
    </row>
    <row r="790" ht="23" customHeight="1" spans="1:10">
      <c r="A790" s="2">
        <v>789</v>
      </c>
      <c r="B790" s="3" t="s">
        <v>1148</v>
      </c>
      <c r="C790" s="2" t="s">
        <v>1151</v>
      </c>
      <c r="D790" s="2" t="s">
        <v>11</v>
      </c>
      <c r="E790" s="2" t="s">
        <v>32</v>
      </c>
      <c r="F790" s="2" t="s">
        <v>13</v>
      </c>
      <c r="G790" s="2" t="s">
        <v>21</v>
      </c>
      <c r="H790" s="4" t="str">
        <f>HYPERLINK("https://www.toutiao.com/article/7527837956334240308/","https://www.toutiao.com/article/7527837956334240308/")</f>
        <v>https://www.toutiao.com/article/7527837956334240308/</v>
      </c>
      <c r="I790" s="3" t="s">
        <v>1152</v>
      </c>
      <c r="J790" t="s">
        <v>16</v>
      </c>
    </row>
    <row r="791" ht="23" customHeight="1" spans="1:10">
      <c r="A791" s="2">
        <v>790</v>
      </c>
      <c r="B791" s="3" t="s">
        <v>1148</v>
      </c>
      <c r="C791" s="2" t="s">
        <v>1153</v>
      </c>
      <c r="D791" s="2" t="s">
        <v>35</v>
      </c>
      <c r="E791" s="2" t="s">
        <v>32</v>
      </c>
      <c r="F791" s="2" t="s">
        <v>13</v>
      </c>
      <c r="G791" s="2" t="s">
        <v>21</v>
      </c>
      <c r="H791" s="4" t="str">
        <f>HYPERLINK("https://new.qq.com/rain/a/20250717A024JM00","https://new.qq.com/rain/a/20250717A024JM00")</f>
        <v>https://new.qq.com/rain/a/20250717A024JM00</v>
      </c>
      <c r="I791" s="3" t="s">
        <v>1150</v>
      </c>
      <c r="J791" t="s">
        <v>16</v>
      </c>
    </row>
    <row r="792" ht="23" customHeight="1" spans="1:10">
      <c r="A792" s="2">
        <v>791</v>
      </c>
      <c r="B792" s="3" t="s">
        <v>1148</v>
      </c>
      <c r="C792" s="2" t="s">
        <v>1153</v>
      </c>
      <c r="D792" s="2" t="s">
        <v>34</v>
      </c>
      <c r="E792" s="2" t="s">
        <v>32</v>
      </c>
      <c r="F792" s="2" t="s">
        <v>13</v>
      </c>
      <c r="G792" s="2" t="s">
        <v>21</v>
      </c>
      <c r="H792" s="4" t="str">
        <f>HYPERLINK("https://kandianshare.html5.qq.com/v2/news/3048109050089015618","https://kandianshare.html5.qq.com/v2/news/3048109050089015618")</f>
        <v>https://kandianshare.html5.qq.com/v2/news/3048109050089015618</v>
      </c>
      <c r="I792" s="3" t="s">
        <v>1150</v>
      </c>
      <c r="J792" t="s">
        <v>16</v>
      </c>
    </row>
    <row r="793" ht="23" customHeight="1" spans="1:10">
      <c r="A793" s="2">
        <v>792</v>
      </c>
      <c r="B793" s="3" t="s">
        <v>1148</v>
      </c>
      <c r="C793" s="2" t="s">
        <v>1154</v>
      </c>
      <c r="D793" s="2" t="s">
        <v>11</v>
      </c>
      <c r="E793" s="2" t="s">
        <v>20</v>
      </c>
      <c r="F793" s="2" t="s">
        <v>13</v>
      </c>
      <c r="G793" s="2" t="s">
        <v>21</v>
      </c>
      <c r="H793" s="4" t="str">
        <f>HYPERLINK("https://www.toutiao.com/article/7527835854044168744/","https://www.toutiao.com/article/7527835854044168744/")</f>
        <v>https://www.toutiao.com/article/7527835854044168744/</v>
      </c>
      <c r="I793" s="3" t="s">
        <v>1152</v>
      </c>
      <c r="J793" t="s">
        <v>16</v>
      </c>
    </row>
    <row r="794" ht="23" customHeight="1" spans="1:10">
      <c r="A794" s="2">
        <v>793</v>
      </c>
      <c r="B794" s="3" t="s">
        <v>1148</v>
      </c>
      <c r="C794" s="2" t="s">
        <v>1155</v>
      </c>
      <c r="D794" s="2" t="s">
        <v>107</v>
      </c>
      <c r="E794" s="2" t="s">
        <v>829</v>
      </c>
      <c r="F794" s="2" t="s">
        <v>13</v>
      </c>
      <c r="G794" s="2" t="s">
        <v>21</v>
      </c>
      <c r="H794" s="4" t="str">
        <f>HYPERLINK("https://k.sina.cn/article_1737737970_6793c6f202001q2ww.html","https://k.sina.cn/article_1737737970_6793c6f202001q2ww.html")</f>
        <v>https://k.sina.cn/article_1737737970_6793c6f202001q2ww.html</v>
      </c>
      <c r="I794" s="3" t="s">
        <v>1150</v>
      </c>
      <c r="J794" t="s">
        <v>16</v>
      </c>
    </row>
    <row r="795" ht="23" customHeight="1" spans="1:10">
      <c r="A795" s="2">
        <v>794</v>
      </c>
      <c r="B795" s="3" t="s">
        <v>1148</v>
      </c>
      <c r="C795" s="2" t="s">
        <v>1156</v>
      </c>
      <c r="D795" s="2" t="s">
        <v>43</v>
      </c>
      <c r="E795" s="2" t="s">
        <v>43</v>
      </c>
      <c r="F795" s="2" t="s">
        <v>37</v>
      </c>
      <c r="G795" s="2" t="s">
        <v>21</v>
      </c>
      <c r="H795" s="4" t="str">
        <f>HYPERLINK("https://export.shobserver.com/baijiahao/html/947854.html","https://export.shobserver.com/baijiahao/html/947854.html")</f>
        <v>https://export.shobserver.com/baijiahao/html/947854.html</v>
      </c>
      <c r="I795" s="3" t="s">
        <v>1152</v>
      </c>
      <c r="J795" t="s">
        <v>16</v>
      </c>
    </row>
    <row r="796" ht="23" customHeight="1" spans="1:10">
      <c r="A796" s="2">
        <v>795</v>
      </c>
      <c r="B796" s="3" t="s">
        <v>1148</v>
      </c>
      <c r="C796" s="2" t="s">
        <v>1156</v>
      </c>
      <c r="D796" s="2" t="s">
        <v>40</v>
      </c>
      <c r="E796" s="2" t="s">
        <v>32</v>
      </c>
      <c r="F796" s="2" t="s">
        <v>13</v>
      </c>
      <c r="G796" s="2" t="s">
        <v>21</v>
      </c>
      <c r="H796" s="4" t="str">
        <f>HYPERLINK("https://www.yoojia.com/article/9154297662578883700.html","https://www.yoojia.com/article/9154297662578883700.html")</f>
        <v>https://www.yoojia.com/article/9154297662578883700.html</v>
      </c>
      <c r="I796" s="3" t="s">
        <v>1152</v>
      </c>
      <c r="J796" t="s">
        <v>16</v>
      </c>
    </row>
    <row r="797" ht="23" customHeight="1" spans="1:10">
      <c r="A797" s="2">
        <v>796</v>
      </c>
      <c r="B797" s="3" t="s">
        <v>1148</v>
      </c>
      <c r="C797" s="2" t="s">
        <v>1156</v>
      </c>
      <c r="D797" s="2" t="s">
        <v>41</v>
      </c>
      <c r="E797" s="2" t="s">
        <v>32</v>
      </c>
      <c r="F797" s="2" t="s">
        <v>13</v>
      </c>
      <c r="G797" s="2" t="s">
        <v>21</v>
      </c>
      <c r="H797" s="4" t="str">
        <f>HYPERLINK("https://mbd.baidu.com/newspage/data/landingshare?nid=news_9154297662578883700","https://mbd.baidu.com/newspage/data/landingshare?nid=news_9154297662578883700")</f>
        <v>https://mbd.baidu.com/newspage/data/landingshare?nid=news_9154297662578883700</v>
      </c>
      <c r="I797" s="3" t="s">
        <v>1152</v>
      </c>
      <c r="J797" t="s">
        <v>16</v>
      </c>
    </row>
    <row r="798" ht="23" customHeight="1" spans="1:10">
      <c r="A798" s="2">
        <v>797</v>
      </c>
      <c r="B798" s="3" t="s">
        <v>1148</v>
      </c>
      <c r="C798" s="2" t="s">
        <v>1156</v>
      </c>
      <c r="D798" s="2" t="s">
        <v>46</v>
      </c>
      <c r="E798" s="2" t="s">
        <v>32</v>
      </c>
      <c r="F798" s="2" t="s">
        <v>37</v>
      </c>
      <c r="G798" s="2" t="s">
        <v>21</v>
      </c>
      <c r="H798" s="4" t="str">
        <f>HYPERLINK("https://3g.k.sohu.com/t/n909403786?serialId=5c39dbe2c520b75b4432303920ec8ed4&amp;showType=909403786","https://3g.k.sohu.com/t/n909403786?serialId=5c39dbe2c520b75b4432303920ec8ed4&amp;showType=909403786")</f>
        <v>https://3g.k.sohu.com/t/n909403786?serialId=5c39dbe2c520b75b4432303920ec8ed4&amp;showType=909403786</v>
      </c>
      <c r="I798" s="3" t="s">
        <v>1157</v>
      </c>
      <c r="J798" t="s">
        <v>16</v>
      </c>
    </row>
    <row r="799" ht="23" customHeight="1" spans="1:10">
      <c r="A799" s="2">
        <v>798</v>
      </c>
      <c r="B799" s="3" t="s">
        <v>1148</v>
      </c>
      <c r="C799" s="2" t="s">
        <v>1156</v>
      </c>
      <c r="D799" s="2" t="s">
        <v>46</v>
      </c>
      <c r="E799" s="2" t="s">
        <v>32</v>
      </c>
      <c r="F799" s="2" t="s">
        <v>13</v>
      </c>
      <c r="G799" s="2" t="s">
        <v>21</v>
      </c>
      <c r="H799" s="4" t="str">
        <f>HYPERLINK("https://www.sohu.com/a/914657093_121286085","https://www.sohu.com/a/914657093_121286085")</f>
        <v>https://www.sohu.com/a/914657093_121286085</v>
      </c>
      <c r="I799" s="3" t="s">
        <v>1150</v>
      </c>
      <c r="J799" t="s">
        <v>16</v>
      </c>
    </row>
    <row r="800" ht="23" customHeight="1" spans="1:10">
      <c r="A800" s="2">
        <v>799</v>
      </c>
      <c r="B800" s="3" t="s">
        <v>1148</v>
      </c>
      <c r="C800" s="2" t="s">
        <v>1156</v>
      </c>
      <c r="D800" s="2" t="s">
        <v>41</v>
      </c>
      <c r="E800" s="2" t="s">
        <v>20</v>
      </c>
      <c r="F800" s="2" t="s">
        <v>13</v>
      </c>
      <c r="G800" s="2" t="s">
        <v>21</v>
      </c>
      <c r="H800" s="4" t="str">
        <f>HYPERLINK("https://mbd.baidu.com/newspage/data/landingshare?nid=news_9437949161384465707","https://mbd.baidu.com/newspage/data/landingshare?nid=news_9437949161384465707")</f>
        <v>https://mbd.baidu.com/newspage/data/landingshare?nid=news_9437949161384465707</v>
      </c>
      <c r="I800" s="3" t="s">
        <v>1152</v>
      </c>
      <c r="J800" t="s">
        <v>16</v>
      </c>
    </row>
    <row r="801" ht="23" customHeight="1" spans="1:10">
      <c r="A801" s="2">
        <v>800</v>
      </c>
      <c r="B801" s="3" t="s">
        <v>1148</v>
      </c>
      <c r="C801" s="2" t="s">
        <v>1156</v>
      </c>
      <c r="D801" s="2" t="s">
        <v>40</v>
      </c>
      <c r="E801" s="2" t="s">
        <v>20</v>
      </c>
      <c r="F801" s="2" t="s">
        <v>13</v>
      </c>
      <c r="G801" s="2" t="s">
        <v>21</v>
      </c>
      <c r="H801" s="4" t="str">
        <f>HYPERLINK("https://www.yoojia.com/article/9437949161384465707.html","https://www.yoojia.com/article/9437949161384465707.html")</f>
        <v>https://www.yoojia.com/article/9437949161384465707.html</v>
      </c>
      <c r="I801" s="3" t="s">
        <v>1152</v>
      </c>
      <c r="J801" t="s">
        <v>16</v>
      </c>
    </row>
    <row r="802" ht="23" customHeight="1" spans="1:10">
      <c r="A802" s="2">
        <v>801</v>
      </c>
      <c r="B802" s="3" t="s">
        <v>1158</v>
      </c>
      <c r="C802" s="2" t="s">
        <v>1159</v>
      </c>
      <c r="D802" s="2" t="s">
        <v>19</v>
      </c>
      <c r="E802" s="2" t="s">
        <v>20</v>
      </c>
      <c r="F802" s="2" t="s">
        <v>37</v>
      </c>
      <c r="G802" s="2" t="s">
        <v>21</v>
      </c>
      <c r="H802" s="4" t="str">
        <f>HYPERLINK("https://c.m.163.com/news/a/K4CGUJEV055040N3.html","https://c.m.163.com/news/a/K4CGUJEV055040N3.html")</f>
        <v>https://c.m.163.com/news/a/K4CGUJEV055040N3.html</v>
      </c>
      <c r="I802" s="3" t="s">
        <v>1160</v>
      </c>
      <c r="J802" t="s">
        <v>16</v>
      </c>
    </row>
    <row r="803" ht="23" customHeight="1" spans="1:10">
      <c r="A803" s="2">
        <v>802</v>
      </c>
      <c r="B803" s="3" t="s">
        <v>1158</v>
      </c>
      <c r="C803" s="2" t="s">
        <v>1161</v>
      </c>
      <c r="D803" s="2" t="s">
        <v>40</v>
      </c>
      <c r="E803" s="2" t="s">
        <v>20</v>
      </c>
      <c r="F803" s="2" t="s">
        <v>13</v>
      </c>
      <c r="G803" s="2" t="s">
        <v>21</v>
      </c>
      <c r="H803" s="4" t="str">
        <f>HYPERLINK("https://www.yoojia.com/article/9130832078683852300.html","https://www.yoojia.com/article/9130832078683852300.html")</f>
        <v>https://www.yoojia.com/article/9130832078683852300.html</v>
      </c>
      <c r="I803" s="3" t="s">
        <v>1162</v>
      </c>
      <c r="J803" t="s">
        <v>16</v>
      </c>
    </row>
    <row r="804" ht="23" customHeight="1" spans="1:10">
      <c r="A804" s="2">
        <v>803</v>
      </c>
      <c r="B804" s="3" t="s">
        <v>1158</v>
      </c>
      <c r="C804" s="2" t="s">
        <v>1161</v>
      </c>
      <c r="D804" s="2" t="s">
        <v>41</v>
      </c>
      <c r="E804" s="2" t="s">
        <v>20</v>
      </c>
      <c r="F804" s="2" t="s">
        <v>13</v>
      </c>
      <c r="G804" s="2" t="s">
        <v>21</v>
      </c>
      <c r="H804" s="4" t="str">
        <f>HYPERLINK("https://mbd.baidu.com/newspage/data/landingshare?nid=news_9130832078683852300","https://mbd.baidu.com/newspage/data/landingshare?nid=news_9130832078683852300")</f>
        <v>https://mbd.baidu.com/newspage/data/landingshare?nid=news_9130832078683852300</v>
      </c>
      <c r="I804" s="3" t="s">
        <v>1162</v>
      </c>
      <c r="J804" t="s">
        <v>16</v>
      </c>
    </row>
    <row r="805" ht="23" customHeight="1" spans="1:10">
      <c r="A805" s="2">
        <v>804</v>
      </c>
      <c r="B805" s="3" t="s">
        <v>1163</v>
      </c>
      <c r="C805" s="2" t="s">
        <v>1164</v>
      </c>
      <c r="D805" s="2" t="s">
        <v>40</v>
      </c>
      <c r="E805" s="2" t="s">
        <v>20</v>
      </c>
      <c r="F805" s="2" t="s">
        <v>13</v>
      </c>
      <c r="G805" s="2" t="s">
        <v>21</v>
      </c>
      <c r="H805" s="4" t="str">
        <f>HYPERLINK("https://www.yoojia.com/article/9558936513015478102.html","https://www.yoojia.com/article/9558936513015478102.html")</f>
        <v>https://www.yoojia.com/article/9558936513015478102.html</v>
      </c>
      <c r="I805" s="3" t="s">
        <v>1165</v>
      </c>
      <c r="J805" t="s">
        <v>16</v>
      </c>
    </row>
    <row r="806" ht="23" customHeight="1" spans="1:10">
      <c r="A806" s="2">
        <v>805</v>
      </c>
      <c r="B806" s="3" t="s">
        <v>1163</v>
      </c>
      <c r="C806" s="2" t="s">
        <v>1164</v>
      </c>
      <c r="D806" s="2" t="s">
        <v>41</v>
      </c>
      <c r="E806" s="2" t="s">
        <v>20</v>
      </c>
      <c r="F806" s="2" t="s">
        <v>13</v>
      </c>
      <c r="G806" s="2" t="s">
        <v>21</v>
      </c>
      <c r="H806" s="4" t="str">
        <f>HYPERLINK("https://mbd.baidu.com/newspage/data/landingshare?nid=news_9558936513015478102","https://mbd.baidu.com/newspage/data/landingshare?nid=news_9558936513015478102")</f>
        <v>https://mbd.baidu.com/newspage/data/landingshare?nid=news_9558936513015478102</v>
      </c>
      <c r="I806" s="3" t="s">
        <v>1165</v>
      </c>
      <c r="J806" t="s">
        <v>16</v>
      </c>
    </row>
    <row r="807" ht="23" customHeight="1" spans="1:10">
      <c r="A807" s="2">
        <v>806</v>
      </c>
      <c r="B807" s="3" t="s">
        <v>1158</v>
      </c>
      <c r="C807" s="2" t="s">
        <v>1166</v>
      </c>
      <c r="D807" s="2" t="s">
        <v>46</v>
      </c>
      <c r="E807" s="2" t="s">
        <v>618</v>
      </c>
      <c r="F807" s="2" t="s">
        <v>37</v>
      </c>
      <c r="G807" s="2" t="s">
        <v>26</v>
      </c>
      <c r="H807" s="4" t="str">
        <f>HYPERLINK("https://3g.k.sohu.com/t/n908046713?serialId=4e9b70cecd55ffb637d4a63af427517c&amp;showType=908046713","https://3g.k.sohu.com/t/n908046713?serialId=4e9b70cecd55ffb637d4a63af427517c&amp;showType=908046713")</f>
        <v>https://3g.k.sohu.com/t/n908046713?serialId=4e9b70cecd55ffb637d4a63af427517c&amp;showType=908046713</v>
      </c>
      <c r="I807" s="3" t="s">
        <v>1167</v>
      </c>
      <c r="J807" t="s">
        <v>16</v>
      </c>
    </row>
    <row r="808" ht="23" customHeight="1" spans="1:10">
      <c r="A808" s="2">
        <v>807</v>
      </c>
      <c r="B808" s="3" t="s">
        <v>1168</v>
      </c>
      <c r="C808" s="2" t="s">
        <v>1169</v>
      </c>
      <c r="D808" s="2" t="s">
        <v>41</v>
      </c>
      <c r="E808" s="2" t="s">
        <v>20</v>
      </c>
      <c r="F808" s="2" t="s">
        <v>13</v>
      </c>
      <c r="G808" s="2" t="s">
        <v>21</v>
      </c>
      <c r="H808" s="4" t="str">
        <f>HYPERLINK("https://mbd.baidu.com/newspage/data/landingshare?nid=news_9176442471043256615","https://mbd.baidu.com/newspage/data/landingshare?nid=news_9176442471043256615")</f>
        <v>https://mbd.baidu.com/newspage/data/landingshare?nid=news_9176442471043256615</v>
      </c>
      <c r="I808" s="3" t="s">
        <v>1170</v>
      </c>
      <c r="J808" t="s">
        <v>16</v>
      </c>
    </row>
    <row r="809" ht="23" customHeight="1" spans="1:10">
      <c r="A809" s="2">
        <v>808</v>
      </c>
      <c r="B809" s="3" t="s">
        <v>1168</v>
      </c>
      <c r="C809" s="2" t="s">
        <v>1169</v>
      </c>
      <c r="D809" s="2" t="s">
        <v>40</v>
      </c>
      <c r="E809" s="2" t="s">
        <v>20</v>
      </c>
      <c r="F809" s="2" t="s">
        <v>13</v>
      </c>
      <c r="G809" s="2" t="s">
        <v>21</v>
      </c>
      <c r="H809" s="4" t="str">
        <f>HYPERLINK("https://www.yoojia.com/article/9176442471043256615.html","https://www.yoojia.com/article/9176442471043256615.html")</f>
        <v>https://www.yoojia.com/article/9176442471043256615.html</v>
      </c>
      <c r="I809" s="3" t="s">
        <v>1170</v>
      </c>
      <c r="J809" t="s">
        <v>16</v>
      </c>
    </row>
    <row r="810" ht="23" customHeight="1" spans="1:10">
      <c r="A810" s="2">
        <v>809</v>
      </c>
      <c r="B810" s="3" t="s">
        <v>1171</v>
      </c>
      <c r="C810" s="2" t="s">
        <v>1172</v>
      </c>
      <c r="D810" s="2" t="s">
        <v>41</v>
      </c>
      <c r="E810" s="2" t="s">
        <v>20</v>
      </c>
      <c r="F810" s="2" t="s">
        <v>13</v>
      </c>
      <c r="G810" s="2" t="s">
        <v>21</v>
      </c>
      <c r="H810" s="4" t="str">
        <f>HYPERLINK("https://mbd.baidu.com/newspage/data/landingshare?nid=news_9630759705087829535","https://mbd.baidu.com/newspage/data/landingshare?nid=news_9630759705087829535")</f>
        <v>https://mbd.baidu.com/newspage/data/landingshare?nid=news_9630759705087829535</v>
      </c>
      <c r="I810" s="3" t="s">
        <v>1165</v>
      </c>
      <c r="J810" t="s">
        <v>16</v>
      </c>
    </row>
    <row r="811" ht="23" customHeight="1" spans="1:10">
      <c r="A811" s="2">
        <v>810</v>
      </c>
      <c r="B811" s="3" t="s">
        <v>1171</v>
      </c>
      <c r="C811" s="2" t="s">
        <v>1172</v>
      </c>
      <c r="D811" s="2" t="s">
        <v>40</v>
      </c>
      <c r="E811" s="2" t="s">
        <v>20</v>
      </c>
      <c r="F811" s="2" t="s">
        <v>13</v>
      </c>
      <c r="G811" s="2" t="s">
        <v>21</v>
      </c>
      <c r="H811" s="4" t="str">
        <f>HYPERLINK("https://www.yoojia.com/article/9630759705087829535.html","https://www.yoojia.com/article/9630759705087829535.html")</f>
        <v>https://www.yoojia.com/article/9630759705087829535.html</v>
      </c>
      <c r="I811" s="3" t="s">
        <v>1165</v>
      </c>
      <c r="J811" t="s">
        <v>16</v>
      </c>
    </row>
    <row r="812" ht="23" customHeight="1" spans="1:10">
      <c r="A812" s="2">
        <v>811</v>
      </c>
      <c r="B812" s="3" t="s">
        <v>1171</v>
      </c>
      <c r="C812" s="2" t="s">
        <v>1173</v>
      </c>
      <c r="D812" s="2" t="s">
        <v>35</v>
      </c>
      <c r="E812" s="2" t="s">
        <v>20</v>
      </c>
      <c r="F812" s="2" t="s">
        <v>13</v>
      </c>
      <c r="G812" s="2" t="s">
        <v>21</v>
      </c>
      <c r="H812" s="4" t="str">
        <f>HYPERLINK("https://new.qq.com/rain/a/20250713A052RG00","https://new.qq.com/rain/a/20250713A052RG00")</f>
        <v>https://new.qq.com/rain/a/20250713A052RG00</v>
      </c>
      <c r="I812" s="3" t="s">
        <v>1165</v>
      </c>
      <c r="J812" t="s">
        <v>16</v>
      </c>
    </row>
    <row r="813" ht="23" customHeight="1" spans="1:10">
      <c r="A813" s="2">
        <v>812</v>
      </c>
      <c r="B813" s="3" t="s">
        <v>1174</v>
      </c>
      <c r="C813" s="2" t="s">
        <v>1175</v>
      </c>
      <c r="D813" s="2" t="s">
        <v>41</v>
      </c>
      <c r="E813" s="2" t="s">
        <v>159</v>
      </c>
      <c r="F813" s="2" t="s">
        <v>13</v>
      </c>
      <c r="G813" s="2" t="s">
        <v>21</v>
      </c>
      <c r="H813" s="4" t="str">
        <f>HYPERLINK("https://mbd.baidu.com/newspage/data/landingshare?nid=news_9762524302327860998","https://mbd.baidu.com/newspage/data/landingshare?nid=news_9762524302327860998")</f>
        <v>https://mbd.baidu.com/newspage/data/landingshare?nid=news_9762524302327860998</v>
      </c>
      <c r="I813" s="3" t="s">
        <v>1176</v>
      </c>
      <c r="J813" t="s">
        <v>16</v>
      </c>
    </row>
    <row r="814" ht="23" customHeight="1" spans="1:10">
      <c r="A814" s="2">
        <v>813</v>
      </c>
      <c r="B814" s="3" t="s">
        <v>1174</v>
      </c>
      <c r="C814" s="2" t="s">
        <v>1175</v>
      </c>
      <c r="D814" s="2" t="s">
        <v>40</v>
      </c>
      <c r="E814" s="2" t="s">
        <v>159</v>
      </c>
      <c r="F814" s="2" t="s">
        <v>13</v>
      </c>
      <c r="G814" s="2" t="s">
        <v>21</v>
      </c>
      <c r="H814" s="4" t="str">
        <f>HYPERLINK("https://www.yoojia.com/article/9762524302327860998.html","https://www.yoojia.com/article/9762524302327860998.html")</f>
        <v>https://www.yoojia.com/article/9762524302327860998.html</v>
      </c>
      <c r="I814" s="3" t="s">
        <v>1176</v>
      </c>
      <c r="J814" t="s">
        <v>16</v>
      </c>
    </row>
    <row r="815" ht="23" customHeight="1" spans="1:10">
      <c r="A815" s="2">
        <v>814</v>
      </c>
      <c r="B815" s="3" t="s">
        <v>1174</v>
      </c>
      <c r="C815" s="2" t="s">
        <v>1177</v>
      </c>
      <c r="D815" s="2" t="s">
        <v>159</v>
      </c>
      <c r="E815" s="2" t="s">
        <v>348</v>
      </c>
      <c r="F815" s="2" t="s">
        <v>13</v>
      </c>
      <c r="G815" s="2" t="s">
        <v>26</v>
      </c>
      <c r="H815" s="4" t="str">
        <f>HYPERLINK("https://static.zhoudaosh.com/files/cnews/2025/20250713/E9885FC540755EFE5C88AD4B6F988C07E834634AD0B815DF74ED186A5749D8A6/1.html","https://static.zhoudaosh.com/files/cnews/2025/20250713/E9885FC540755EFE5C88AD4B6F988C07E834634AD0B815DF74ED186A5749D8A6/1.html")</f>
        <v>https://static.zhoudaosh.com/files/cnews/2025/20250713/E9885FC540755EFE5C88AD4B6F988C07E834634AD0B815DF74ED186A5749D8A6/1.html</v>
      </c>
      <c r="I815" s="3" t="s">
        <v>1178</v>
      </c>
      <c r="J815" t="s">
        <v>16</v>
      </c>
    </row>
    <row r="816" ht="23" customHeight="1" spans="1:10">
      <c r="A816" s="2">
        <v>815</v>
      </c>
      <c r="B816" s="3" t="s">
        <v>1179</v>
      </c>
      <c r="C816" s="2" t="s">
        <v>1180</v>
      </c>
      <c r="D816" s="2" t="s">
        <v>35</v>
      </c>
      <c r="E816" s="2" t="s">
        <v>20</v>
      </c>
      <c r="F816" s="2" t="s">
        <v>13</v>
      </c>
      <c r="G816" s="2" t="s">
        <v>21</v>
      </c>
      <c r="H816" s="4" t="str">
        <f>HYPERLINK("https://new.qq.com/rain/a/20250713A04LUW00","https://new.qq.com/rain/a/20250713A04LUW00")</f>
        <v>https://new.qq.com/rain/a/20250713A04LUW00</v>
      </c>
      <c r="I816" s="3" t="s">
        <v>1181</v>
      </c>
      <c r="J816" t="s">
        <v>16</v>
      </c>
    </row>
    <row r="817" ht="23" customHeight="1" spans="1:10">
      <c r="A817" s="2">
        <v>816</v>
      </c>
      <c r="B817" s="3" t="s">
        <v>1179</v>
      </c>
      <c r="C817" s="2" t="s">
        <v>1180</v>
      </c>
      <c r="D817" s="2" t="s">
        <v>91</v>
      </c>
      <c r="E817" s="2" t="s">
        <v>20</v>
      </c>
      <c r="F817" s="2" t="s">
        <v>91</v>
      </c>
      <c r="G817" s="2" t="s">
        <v>21</v>
      </c>
      <c r="H817" s="4" t="str">
        <f>HYPERLINK("http://mp.weixin.qq.com/s?__biz=MjM5ODI2NDMwMw==&amp;mid=2653282809&amp;idx=2&amp;sn=f23ffe65313ad3e416936239fd5c088f","http://mp.weixin.qq.com/s?__biz=MjM5ODI2NDMwMw==&amp;mid=2653282809&amp;idx=2&amp;sn=f23ffe65313ad3e416936239fd5c088f")</f>
        <v>http://mp.weixin.qq.com/s?__biz=MjM5ODI2NDMwMw==&amp;mid=2653282809&amp;idx=2&amp;sn=f23ffe65313ad3e416936239fd5c088f</v>
      </c>
      <c r="I817" s="3" t="s">
        <v>1182</v>
      </c>
      <c r="J817" t="s">
        <v>16</v>
      </c>
    </row>
    <row r="818" ht="23" customHeight="1" spans="1:10">
      <c r="A818" s="2">
        <v>817</v>
      </c>
      <c r="B818" s="3" t="s">
        <v>1183</v>
      </c>
      <c r="C818" s="2" t="s">
        <v>1184</v>
      </c>
      <c r="D818" s="2" t="s">
        <v>19</v>
      </c>
      <c r="E818" s="2" t="s">
        <v>317</v>
      </c>
      <c r="F818" s="2" t="s">
        <v>37</v>
      </c>
      <c r="G818" s="2" t="s">
        <v>26</v>
      </c>
      <c r="H818" s="4" t="str">
        <f>HYPERLINK("https://c.m.163.com/news/a/K49EP4BN0519QIKK.html","https://c.m.163.com/news/a/K49EP4BN0519QIKK.html")</f>
        <v>https://c.m.163.com/news/a/K49EP4BN0519QIKK.html</v>
      </c>
      <c r="I818" s="3" t="s">
        <v>1185</v>
      </c>
      <c r="J818" t="s">
        <v>16</v>
      </c>
    </row>
    <row r="819" ht="23" customHeight="1" spans="1:10">
      <c r="A819" s="2">
        <v>818</v>
      </c>
      <c r="B819" s="3" t="s">
        <v>1183</v>
      </c>
      <c r="C819" s="2" t="s">
        <v>1186</v>
      </c>
      <c r="D819" s="2" t="s">
        <v>11</v>
      </c>
      <c r="E819" s="2" t="s">
        <v>317</v>
      </c>
      <c r="F819" s="2" t="s">
        <v>13</v>
      </c>
      <c r="G819" s="2" t="s">
        <v>201</v>
      </c>
      <c r="H819" s="4" t="str">
        <f>HYPERLINK("https://www.toutiao.com/article/7526100363879989786/","https://www.toutiao.com/article/7526100363879989786/")</f>
        <v>https://www.toutiao.com/article/7526100363879989786/</v>
      </c>
      <c r="I819" s="3" t="s">
        <v>1185</v>
      </c>
      <c r="J819" t="s">
        <v>16</v>
      </c>
    </row>
    <row r="820" ht="23" customHeight="1" spans="1:10">
      <c r="A820" s="2">
        <v>819</v>
      </c>
      <c r="B820" s="3" t="s">
        <v>1183</v>
      </c>
      <c r="C820" s="2" t="s">
        <v>1187</v>
      </c>
      <c r="D820" s="2" t="s">
        <v>317</v>
      </c>
      <c r="E820" s="2" t="s">
        <v>317</v>
      </c>
      <c r="F820" s="2" t="s">
        <v>13</v>
      </c>
      <c r="G820" s="2" t="s">
        <v>201</v>
      </c>
      <c r="H820" s="4" t="str">
        <f>HYPERLINK("https://m.jrj.com.cn/madapter/finance/2025/07/12154051655207.shtml","https://m.jrj.com.cn/madapter/finance/2025/07/12154051655207.shtml")</f>
        <v>https://m.jrj.com.cn/madapter/finance/2025/07/12154051655207.shtml</v>
      </c>
      <c r="I820" s="3" t="s">
        <v>1185</v>
      </c>
      <c r="J820" t="s">
        <v>16</v>
      </c>
    </row>
    <row r="821" ht="23" customHeight="1" spans="1:10">
      <c r="A821" s="2">
        <v>820</v>
      </c>
      <c r="B821" s="3" t="s">
        <v>1183</v>
      </c>
      <c r="C821" s="2" t="s">
        <v>1187</v>
      </c>
      <c r="D821" s="2" t="s">
        <v>317</v>
      </c>
      <c r="E821" s="2" t="s">
        <v>980</v>
      </c>
      <c r="F821" s="2" t="s">
        <v>13</v>
      </c>
      <c r="G821" s="2" t="s">
        <v>26</v>
      </c>
      <c r="H821" s="4" t="str">
        <f>HYPERLINK("https://finance.jrj.com.cn/2025/07/12154051655207.shtml","https://finance.jrj.com.cn/2025/07/12154051655207.shtml")</f>
        <v>https://finance.jrj.com.cn/2025/07/12154051655207.shtml</v>
      </c>
      <c r="I821" s="3" t="s">
        <v>1185</v>
      </c>
      <c r="J821" t="s">
        <v>16</v>
      </c>
    </row>
    <row r="822" ht="23" customHeight="1" spans="1:10">
      <c r="A822" s="2">
        <v>821</v>
      </c>
      <c r="B822" s="3" t="s">
        <v>1183</v>
      </c>
      <c r="C822" s="2" t="s">
        <v>1188</v>
      </c>
      <c r="D822" s="2" t="s">
        <v>46</v>
      </c>
      <c r="E822" s="2" t="s">
        <v>317</v>
      </c>
      <c r="F822" s="2" t="s">
        <v>37</v>
      </c>
      <c r="G822" s="2" t="s">
        <v>201</v>
      </c>
      <c r="H822" s="4" t="str">
        <f>HYPERLINK("https://3g.k.sohu.com/t/n907802087?serialId=d132e8a913067d62ba27c6d884a99f27&amp;showType=907802087","https://3g.k.sohu.com/t/n907802087?serialId=d132e8a913067d62ba27c6d884a99f27&amp;showType=907802087")</f>
        <v>https://3g.k.sohu.com/t/n907802087?serialId=d132e8a913067d62ba27c6d884a99f27&amp;showType=907802087</v>
      </c>
      <c r="I822" s="3" t="s">
        <v>1185</v>
      </c>
      <c r="J822" t="s">
        <v>16</v>
      </c>
    </row>
    <row r="823" ht="23" customHeight="1" spans="1:10">
      <c r="A823" s="2">
        <v>822</v>
      </c>
      <c r="B823" s="3" t="s">
        <v>1183</v>
      </c>
      <c r="C823" s="2" t="s">
        <v>1188</v>
      </c>
      <c r="D823" s="2" t="s">
        <v>46</v>
      </c>
      <c r="E823" s="2" t="s">
        <v>317</v>
      </c>
      <c r="F823" s="2" t="s">
        <v>13</v>
      </c>
      <c r="G823" s="2" t="s">
        <v>201</v>
      </c>
      <c r="H823" s="4" t="str">
        <f>HYPERLINK("https://www.sohu.com/a/913209406_114984","https://www.sohu.com/a/913209406_114984")</f>
        <v>https://www.sohu.com/a/913209406_114984</v>
      </c>
      <c r="I823" s="3" t="s">
        <v>1185</v>
      </c>
      <c r="J823" t="s">
        <v>16</v>
      </c>
    </row>
    <row r="824" ht="23" customHeight="1" spans="1:10">
      <c r="A824" s="2">
        <v>823</v>
      </c>
      <c r="B824" s="3" t="s">
        <v>1189</v>
      </c>
      <c r="C824" s="2" t="s">
        <v>1190</v>
      </c>
      <c r="D824" s="2" t="s">
        <v>256</v>
      </c>
      <c r="E824" s="2" t="s">
        <v>256</v>
      </c>
      <c r="F824" s="2" t="s">
        <v>13</v>
      </c>
      <c r="G824" s="2" t="s">
        <v>21</v>
      </c>
      <c r="H824" s="4" t="str">
        <f>HYPERLINK("https://www.xhby.net/content/s686f92e7e4b04486b3eb204a.html","https://www.xhby.net/content/s686f92e7e4b04486b3eb204a.html")</f>
        <v>https://www.xhby.net/content/s686f92e7e4b04486b3eb204a.html</v>
      </c>
      <c r="I824" s="3" t="s">
        <v>1191</v>
      </c>
      <c r="J824" t="s">
        <v>16</v>
      </c>
    </row>
    <row r="825" ht="23" customHeight="1" spans="1:10">
      <c r="A825" s="2">
        <v>824</v>
      </c>
      <c r="B825" s="3" t="s">
        <v>1189</v>
      </c>
      <c r="C825" s="2" t="s">
        <v>1192</v>
      </c>
      <c r="D825" s="2" t="s">
        <v>11</v>
      </c>
      <c r="E825" s="2" t="s">
        <v>1193</v>
      </c>
      <c r="F825" s="2" t="s">
        <v>13</v>
      </c>
      <c r="G825" s="2" t="s">
        <v>21</v>
      </c>
      <c r="H825" s="4" t="str">
        <f>HYPERLINK("https://www.toutiao.com/article/7525394579659555371/","https://www.toutiao.com/article/7525394579659555371/")</f>
        <v>https://www.toutiao.com/article/7525394579659555371/</v>
      </c>
      <c r="I825" s="3" t="s">
        <v>1194</v>
      </c>
      <c r="J825" t="s">
        <v>16</v>
      </c>
    </row>
    <row r="826" ht="23" customHeight="1" spans="1:10">
      <c r="A826" s="2">
        <v>825</v>
      </c>
      <c r="B826" s="3" t="s">
        <v>1189</v>
      </c>
      <c r="C826" s="2" t="s">
        <v>1195</v>
      </c>
      <c r="D826" s="2" t="s">
        <v>1193</v>
      </c>
      <c r="E826" s="2" t="s">
        <v>1196</v>
      </c>
      <c r="F826" s="2" t="s">
        <v>13</v>
      </c>
      <c r="G826" s="2" t="s">
        <v>21</v>
      </c>
      <c r="H826" s="4" t="str">
        <f>HYPERLINK("https://xhrbcj.com/newsDetail?id=02032e6c44b2366c72925c6770cb61cd&amp;type=1","https://xhrbcj.com/newsDetail?id=02032e6c44b2366c72925c6770cb61cd&amp;type=1")</f>
        <v>https://xhrbcj.com/newsDetail?id=02032e6c44b2366c72925c6770cb61cd&amp;type=1</v>
      </c>
      <c r="I826" s="3" t="s">
        <v>1197</v>
      </c>
      <c r="J826" t="s">
        <v>16</v>
      </c>
    </row>
    <row r="827" ht="23" customHeight="1" spans="1:10">
      <c r="A827" s="2">
        <v>826</v>
      </c>
      <c r="B827" s="3" t="s">
        <v>1198</v>
      </c>
      <c r="C827" s="2" t="s">
        <v>1199</v>
      </c>
      <c r="D827" s="2" t="s">
        <v>41</v>
      </c>
      <c r="E827" s="2" t="s">
        <v>20</v>
      </c>
      <c r="F827" s="2" t="s">
        <v>13</v>
      </c>
      <c r="G827" s="2" t="s">
        <v>21</v>
      </c>
      <c r="H827" s="4" t="str">
        <f>HYPERLINK("https://mbd.baidu.com/newspage/data/landingshare?nid=news_9726901727684740222","https://mbd.baidu.com/newspage/data/landingshare?nid=news_9726901727684740222")</f>
        <v>https://mbd.baidu.com/newspage/data/landingshare?nid=news_9726901727684740222</v>
      </c>
      <c r="I827" s="3" t="s">
        <v>1200</v>
      </c>
      <c r="J827" t="s">
        <v>16</v>
      </c>
    </row>
    <row r="828" ht="23" customHeight="1" spans="1:10">
      <c r="A828" s="2">
        <v>827</v>
      </c>
      <c r="B828" s="3" t="s">
        <v>1198</v>
      </c>
      <c r="C828" s="2" t="s">
        <v>1199</v>
      </c>
      <c r="D828" s="2" t="s">
        <v>40</v>
      </c>
      <c r="E828" s="2" t="s">
        <v>20</v>
      </c>
      <c r="F828" s="2" t="s">
        <v>13</v>
      </c>
      <c r="G828" s="2" t="s">
        <v>21</v>
      </c>
      <c r="H828" s="4" t="str">
        <f>HYPERLINK("https://www.yoojia.com/article/9726901727684740222.html","https://www.yoojia.com/article/9726901727684740222.html")</f>
        <v>https://www.yoojia.com/article/9726901727684740222.html</v>
      </c>
      <c r="I828" s="3" t="s">
        <v>1200</v>
      </c>
      <c r="J828" t="s">
        <v>16</v>
      </c>
    </row>
    <row r="829" ht="23" customHeight="1" spans="1:10">
      <c r="A829" s="2">
        <v>828</v>
      </c>
      <c r="B829" s="3" t="s">
        <v>1198</v>
      </c>
      <c r="C829" s="2" t="s">
        <v>1201</v>
      </c>
      <c r="D829" s="2" t="s">
        <v>46</v>
      </c>
      <c r="E829" s="2" t="s">
        <v>618</v>
      </c>
      <c r="F829" s="2" t="s">
        <v>37</v>
      </c>
      <c r="G829" s="2" t="s">
        <v>26</v>
      </c>
      <c r="H829" s="4" t="str">
        <f>HYPERLINK("https://3g.k.sohu.com/t/n906573188?serialId=e8e5e8df84cc9d82f6c32b9559010e46&amp;showType=906573188","https://3g.k.sohu.com/t/n906573188?serialId=e8e5e8df84cc9d82f6c32b9559010e46&amp;showType=906573188")</f>
        <v>https://3g.k.sohu.com/t/n906573188?serialId=e8e5e8df84cc9d82f6c32b9559010e46&amp;showType=906573188</v>
      </c>
      <c r="I829" s="3" t="s">
        <v>1202</v>
      </c>
      <c r="J829" t="s">
        <v>16</v>
      </c>
    </row>
    <row r="830" ht="23" customHeight="1" spans="1:10">
      <c r="A830" s="2">
        <v>829</v>
      </c>
      <c r="B830" s="3" t="s">
        <v>1203</v>
      </c>
      <c r="C830" s="2" t="s">
        <v>1204</v>
      </c>
      <c r="D830" s="2" t="s">
        <v>95</v>
      </c>
      <c r="E830" s="2" t="s">
        <v>95</v>
      </c>
      <c r="F830" s="2" t="s">
        <v>13</v>
      </c>
      <c r="G830" s="2" t="s">
        <v>14</v>
      </c>
      <c r="H830" s="4" t="str">
        <f>HYPERLINK("http://sh.people.com.cn/BIG5/n2/2025/0708/c134768-41285149.html","http://sh.people.com.cn/BIG5/n2/2025/0708/c134768-41285149.html")</f>
        <v>http://sh.people.com.cn/BIG5/n2/2025/0708/c134768-41285149.html</v>
      </c>
      <c r="I830" s="3" t="s">
        <v>1205</v>
      </c>
      <c r="J830" t="s">
        <v>16</v>
      </c>
    </row>
    <row r="831" ht="23" customHeight="1" spans="1:10">
      <c r="A831" s="2">
        <v>830</v>
      </c>
      <c r="B831" s="3" t="s">
        <v>1203</v>
      </c>
      <c r="C831" s="2" t="s">
        <v>1206</v>
      </c>
      <c r="D831" s="2" t="s">
        <v>41</v>
      </c>
      <c r="E831" s="2" t="s">
        <v>20</v>
      </c>
      <c r="F831" s="2" t="s">
        <v>13</v>
      </c>
      <c r="G831" s="2" t="s">
        <v>21</v>
      </c>
      <c r="H831" s="4" t="str">
        <f>HYPERLINK("https://mbd.baidu.com/newspage/data/landingshare?nid=news_9546216336056431083","https://mbd.baidu.com/newspage/data/landingshare?nid=news_9546216336056431083")</f>
        <v>https://mbd.baidu.com/newspage/data/landingshare?nid=news_9546216336056431083</v>
      </c>
      <c r="I831" s="3" t="s">
        <v>1205</v>
      </c>
      <c r="J831" t="s">
        <v>16</v>
      </c>
    </row>
    <row r="832" ht="23" customHeight="1" spans="1:10">
      <c r="A832" s="2">
        <v>831</v>
      </c>
      <c r="B832" s="3" t="s">
        <v>1203</v>
      </c>
      <c r="C832" s="2" t="s">
        <v>1206</v>
      </c>
      <c r="D832" s="2" t="s">
        <v>40</v>
      </c>
      <c r="E832" s="2" t="s">
        <v>20</v>
      </c>
      <c r="F832" s="2" t="s">
        <v>13</v>
      </c>
      <c r="G832" s="2" t="s">
        <v>21</v>
      </c>
      <c r="H832" s="4" t="str">
        <f>HYPERLINK("https://www.yoojia.com/article/9546216336056431083.html","https://www.yoojia.com/article/9546216336056431083.html")</f>
        <v>https://www.yoojia.com/article/9546216336056431083.html</v>
      </c>
      <c r="I832" s="3" t="s">
        <v>1205</v>
      </c>
      <c r="J832" t="s">
        <v>16</v>
      </c>
    </row>
    <row r="833" ht="23" customHeight="1" spans="1:10">
      <c r="A833" s="2">
        <v>832</v>
      </c>
      <c r="B833" s="3" t="s">
        <v>1203</v>
      </c>
      <c r="C833" s="2" t="s">
        <v>1207</v>
      </c>
      <c r="D833" s="2" t="s">
        <v>11</v>
      </c>
      <c r="E833" s="2" t="s">
        <v>126</v>
      </c>
      <c r="F833" s="2" t="s">
        <v>13</v>
      </c>
      <c r="G833" s="2" t="s">
        <v>21</v>
      </c>
      <c r="H833" s="4" t="str">
        <f>HYPERLINK("https://www.toutiao.com/article/7524506155519869486/","https://www.toutiao.com/article/7524506155519869486/")</f>
        <v>https://www.toutiao.com/article/7524506155519869486/</v>
      </c>
      <c r="I833" s="3" t="s">
        <v>1205</v>
      </c>
      <c r="J833" t="s">
        <v>16</v>
      </c>
    </row>
    <row r="834" ht="23" customHeight="1" spans="1:10">
      <c r="A834" s="2">
        <v>833</v>
      </c>
      <c r="B834" s="3" t="s">
        <v>1203</v>
      </c>
      <c r="C834" s="2" t="s">
        <v>1208</v>
      </c>
      <c r="D834" s="2" t="s">
        <v>40</v>
      </c>
      <c r="E834" s="2" t="s">
        <v>126</v>
      </c>
      <c r="F834" s="2" t="s">
        <v>13</v>
      </c>
      <c r="G834" s="2" t="s">
        <v>21</v>
      </c>
      <c r="H834" s="4" t="str">
        <f>HYPERLINK("https://www.yoojia.com/article/9285850672653489396.html","https://www.yoojia.com/article/9285850672653489396.html")</f>
        <v>https://www.yoojia.com/article/9285850672653489396.html</v>
      </c>
      <c r="I834" s="3" t="s">
        <v>1205</v>
      </c>
      <c r="J834" t="s">
        <v>16</v>
      </c>
    </row>
    <row r="835" ht="23" customHeight="1" spans="1:10">
      <c r="A835" s="2">
        <v>834</v>
      </c>
      <c r="B835" s="3" t="s">
        <v>1203</v>
      </c>
      <c r="C835" s="2" t="s">
        <v>1208</v>
      </c>
      <c r="D835" s="2" t="s">
        <v>41</v>
      </c>
      <c r="E835" s="2" t="s">
        <v>126</v>
      </c>
      <c r="F835" s="2" t="s">
        <v>13</v>
      </c>
      <c r="G835" s="2" t="s">
        <v>21</v>
      </c>
      <c r="H835" s="4" t="str">
        <f>HYPERLINK("https://mbd.baidu.com/newspage/data/landingshare?nid=news_9285850672653489396","https://mbd.baidu.com/newspage/data/landingshare?nid=news_9285850672653489396")</f>
        <v>https://mbd.baidu.com/newspage/data/landingshare?nid=news_9285850672653489396</v>
      </c>
      <c r="I835" s="3" t="s">
        <v>1205</v>
      </c>
      <c r="J835" t="s">
        <v>16</v>
      </c>
    </row>
    <row r="836" ht="23" customHeight="1" spans="1:10">
      <c r="A836" s="2">
        <v>835</v>
      </c>
      <c r="B836" s="3" t="s">
        <v>1209</v>
      </c>
      <c r="C836" s="2" t="s">
        <v>1210</v>
      </c>
      <c r="D836" s="2" t="s">
        <v>11</v>
      </c>
      <c r="E836" s="2" t="s">
        <v>477</v>
      </c>
      <c r="F836" s="2" t="s">
        <v>13</v>
      </c>
      <c r="G836" s="2" t="s">
        <v>14</v>
      </c>
      <c r="H836" s="4" t="str">
        <f>HYPERLINK("https://www.toutiao.com/article/7524376334915666478/","https://www.toutiao.com/article/7524376334915666478/")</f>
        <v>https://www.toutiao.com/article/7524376334915666478/</v>
      </c>
      <c r="I836" s="3" t="s">
        <v>1211</v>
      </c>
      <c r="J836" t="s">
        <v>16</v>
      </c>
    </row>
    <row r="837" ht="23" customHeight="1" spans="1:10">
      <c r="A837" s="2">
        <v>836</v>
      </c>
      <c r="B837" s="3" t="s">
        <v>1209</v>
      </c>
      <c r="C837" s="2" t="s">
        <v>1212</v>
      </c>
      <c r="D837" s="2" t="s">
        <v>41</v>
      </c>
      <c r="E837" s="2" t="s">
        <v>1213</v>
      </c>
      <c r="F837" s="2" t="s">
        <v>13</v>
      </c>
      <c r="G837" s="2" t="s">
        <v>26</v>
      </c>
      <c r="H837" s="4" t="str">
        <f>HYPERLINK("https://mbd.baidu.com/newspage/data/landingshare?nid=news_9136164937751315216","https://mbd.baidu.com/newspage/data/landingshare?nid=news_9136164937751315216")</f>
        <v>https://mbd.baidu.com/newspage/data/landingshare?nid=news_9136164937751315216</v>
      </c>
      <c r="I837" s="3" t="s">
        <v>1211</v>
      </c>
      <c r="J837" t="s">
        <v>16</v>
      </c>
    </row>
    <row r="838" ht="23" customHeight="1" spans="1:10">
      <c r="A838" s="2">
        <v>837</v>
      </c>
      <c r="B838" s="3" t="s">
        <v>1209</v>
      </c>
      <c r="C838" s="2" t="s">
        <v>1214</v>
      </c>
      <c r="D838" s="2" t="s">
        <v>477</v>
      </c>
      <c r="E838" s="2" t="s">
        <v>477</v>
      </c>
      <c r="F838" s="2" t="s">
        <v>13</v>
      </c>
      <c r="G838" s="2" t="s">
        <v>14</v>
      </c>
      <c r="H838" s="4" t="str">
        <f>HYPERLINK("http://zw.china.com.cn/2025-07/08/content_117966644.shtml","http://zw.china.com.cn/2025-07/08/content_117966644.shtml")</f>
        <v>http://zw.china.com.cn/2025-07/08/content_117966644.shtml</v>
      </c>
      <c r="I838" s="3" t="s">
        <v>1215</v>
      </c>
      <c r="J838" t="s">
        <v>16</v>
      </c>
    </row>
    <row r="839" ht="23" customHeight="1" spans="1:10">
      <c r="A839" s="2">
        <v>838</v>
      </c>
      <c r="B839" s="3" t="s">
        <v>1216</v>
      </c>
      <c r="C839" s="2" t="s">
        <v>1217</v>
      </c>
      <c r="D839" s="2" t="s">
        <v>11</v>
      </c>
      <c r="E839" s="2" t="s">
        <v>126</v>
      </c>
      <c r="F839" s="2" t="s">
        <v>13</v>
      </c>
      <c r="G839" s="2" t="s">
        <v>21</v>
      </c>
      <c r="H839" s="4" t="str">
        <f>HYPERLINK("https://www.toutiao.com/article/7524332656735683108/","https://www.toutiao.com/article/7524332656735683108/")</f>
        <v>https://www.toutiao.com/article/7524332656735683108/</v>
      </c>
      <c r="I839" s="3" t="s">
        <v>1218</v>
      </c>
      <c r="J839" t="s">
        <v>16</v>
      </c>
    </row>
    <row r="840" ht="23" customHeight="1" spans="1:10">
      <c r="A840" s="2">
        <v>839</v>
      </c>
      <c r="B840" s="3" t="s">
        <v>1216</v>
      </c>
      <c r="C840" s="2" t="s">
        <v>1219</v>
      </c>
      <c r="D840" s="2" t="s">
        <v>41</v>
      </c>
      <c r="E840" s="2" t="s">
        <v>126</v>
      </c>
      <c r="F840" s="2" t="s">
        <v>13</v>
      </c>
      <c r="G840" s="2" t="s">
        <v>21</v>
      </c>
      <c r="H840" s="4" t="str">
        <f>HYPERLINK("https://mbd.baidu.com/newspage/data/landingshare?nid=news_9734367411615380338","https://mbd.baidu.com/newspage/data/landingshare?nid=news_9734367411615380338")</f>
        <v>https://mbd.baidu.com/newspage/data/landingshare?nid=news_9734367411615380338</v>
      </c>
      <c r="I840" s="3" t="s">
        <v>1218</v>
      </c>
      <c r="J840" t="s">
        <v>16</v>
      </c>
    </row>
    <row r="841" ht="23" customHeight="1" spans="1:10">
      <c r="A841" s="2">
        <v>840</v>
      </c>
      <c r="B841" s="3" t="s">
        <v>1216</v>
      </c>
      <c r="C841" s="2" t="s">
        <v>1219</v>
      </c>
      <c r="D841" s="2" t="s">
        <v>40</v>
      </c>
      <c r="E841" s="2" t="s">
        <v>126</v>
      </c>
      <c r="F841" s="2" t="s">
        <v>13</v>
      </c>
      <c r="G841" s="2" t="s">
        <v>21</v>
      </c>
      <c r="H841" s="4" t="str">
        <f>HYPERLINK("https://www.yoojia.com/article/9734367411615380338.html","https://www.yoojia.com/article/9734367411615380338.html")</f>
        <v>https://www.yoojia.com/article/9734367411615380338.html</v>
      </c>
      <c r="I841" s="3" t="s">
        <v>1218</v>
      </c>
      <c r="J841" t="s">
        <v>16</v>
      </c>
    </row>
    <row r="842" ht="23" customHeight="1" spans="1:10">
      <c r="A842" s="2">
        <v>841</v>
      </c>
      <c r="B842" s="3" t="s">
        <v>1220</v>
      </c>
      <c r="C842" s="2" t="s">
        <v>1221</v>
      </c>
      <c r="D842" s="2" t="s">
        <v>428</v>
      </c>
      <c r="E842" s="2" t="s">
        <v>1222</v>
      </c>
      <c r="F842" s="2" t="s">
        <v>13</v>
      </c>
      <c r="G842" s="2" t="s">
        <v>14</v>
      </c>
      <c r="H842" s="4" t="str">
        <f>HYPERLINK("https://article.xuexi.cn/articles/index.html?art_id=6281174020765355354&amp;cdn=https://region-shanghai-resource","https://article.xuexi.cn/articles/index.html?art_id=6281174020765355354&amp;cdn=https://region-shanghai-resource")</f>
        <v>https://article.xuexi.cn/articles/index.html?art_id=6281174020765355354&amp;cdn=https://region-shanghai-resource</v>
      </c>
      <c r="I842" s="3" t="s">
        <v>1223</v>
      </c>
      <c r="J842" t="s">
        <v>16</v>
      </c>
    </row>
    <row r="843" ht="23" customHeight="1" spans="1:10">
      <c r="A843" s="2">
        <v>842</v>
      </c>
      <c r="B843" s="3" t="s">
        <v>1224</v>
      </c>
      <c r="C843" s="2" t="s">
        <v>1225</v>
      </c>
      <c r="D843" s="2" t="s">
        <v>1226</v>
      </c>
      <c r="E843" s="2" t="s">
        <v>1226</v>
      </c>
      <c r="F843" s="2" t="s">
        <v>13</v>
      </c>
      <c r="G843" s="2" t="s">
        <v>1227</v>
      </c>
      <c r="H843" s="4" t="str">
        <f>HYPERLINK("https://finance.sina.com.cn/tech/roll/2025-07-02/doc-infeawvy7721181.shtml","https://finance.sina.com.cn/tech/roll/2025-07-02/doc-infeawvy7721181.shtml")</f>
        <v>https://finance.sina.com.cn/tech/roll/2025-07-02/doc-infeawvy7721181.shtml</v>
      </c>
      <c r="I843" s="3" t="s">
        <v>1228</v>
      </c>
      <c r="J843" t="s">
        <v>16</v>
      </c>
    </row>
    <row r="844" ht="23" customHeight="1" spans="1:10">
      <c r="A844" s="2">
        <v>843</v>
      </c>
      <c r="B844" s="3" t="s">
        <v>1229</v>
      </c>
      <c r="C844" s="2" t="s">
        <v>1230</v>
      </c>
      <c r="D844" s="2" t="s">
        <v>1231</v>
      </c>
      <c r="E844" s="2" t="s">
        <v>1231</v>
      </c>
      <c r="F844" s="2" t="s">
        <v>13</v>
      </c>
      <c r="G844" s="2" t="s">
        <v>14</v>
      </c>
      <c r="H844" s="4" t="str">
        <f>HYPERLINK("http://www.chinadevelopment.com.cn/news/cj/2025/06/1949914.shtml","http://www.chinadevelopment.com.cn/news/cj/2025/06/1949914.shtml")</f>
        <v>http://www.chinadevelopment.com.cn/news/cj/2025/06/1949914.shtml</v>
      </c>
      <c r="I844" s="3" t="s">
        <v>1232</v>
      </c>
      <c r="J844" t="s">
        <v>16</v>
      </c>
    </row>
    <row r="845" ht="23" customHeight="1" spans="1:10">
      <c r="A845" s="2">
        <v>844</v>
      </c>
      <c r="B845" s="3" t="s">
        <v>1233</v>
      </c>
      <c r="C845" s="2" t="s">
        <v>1234</v>
      </c>
      <c r="D845" s="2" t="s">
        <v>40</v>
      </c>
      <c r="E845" s="2" t="s">
        <v>20</v>
      </c>
      <c r="F845" s="2" t="s">
        <v>13</v>
      </c>
      <c r="G845" s="2" t="s">
        <v>21</v>
      </c>
      <c r="H845" s="4" t="str">
        <f>HYPERLINK("https://www.yoojia.com/article/9915373027240436312.html","https://www.yoojia.com/article/9915373027240436312.html")</f>
        <v>https://www.yoojia.com/article/9915373027240436312.html</v>
      </c>
      <c r="I845" s="3" t="s">
        <v>1235</v>
      </c>
      <c r="J845" t="s">
        <v>16</v>
      </c>
    </row>
    <row r="846" ht="23" customHeight="1" spans="1:10">
      <c r="A846" s="2">
        <v>845</v>
      </c>
      <c r="B846" s="3" t="s">
        <v>1233</v>
      </c>
      <c r="C846" s="2" t="s">
        <v>1234</v>
      </c>
      <c r="D846" s="2" t="s">
        <v>41</v>
      </c>
      <c r="E846" s="2" t="s">
        <v>20</v>
      </c>
      <c r="F846" s="2" t="s">
        <v>13</v>
      </c>
      <c r="G846" s="2" t="s">
        <v>21</v>
      </c>
      <c r="H846" s="4" t="str">
        <f>HYPERLINK("https://mbd.baidu.com/newspage/data/landingshare?nid=news_9915373027240436312","https://mbd.baidu.com/newspage/data/landingshare?nid=news_9915373027240436312")</f>
        <v>https://mbd.baidu.com/newspage/data/landingshare?nid=news_9915373027240436312</v>
      </c>
      <c r="I846" s="3" t="s">
        <v>1235</v>
      </c>
      <c r="J846" t="s">
        <v>16</v>
      </c>
    </row>
    <row r="847" ht="23" customHeight="1" spans="1:10">
      <c r="A847" s="2">
        <v>846</v>
      </c>
      <c r="B847" s="3" t="s">
        <v>1233</v>
      </c>
      <c r="C847" s="2" t="s">
        <v>1236</v>
      </c>
      <c r="D847" s="2" t="s">
        <v>41</v>
      </c>
      <c r="E847" s="2" t="s">
        <v>20</v>
      </c>
      <c r="F847" s="2" t="s">
        <v>13</v>
      </c>
      <c r="G847" s="2" t="s">
        <v>21</v>
      </c>
      <c r="H847" s="4" t="str">
        <f>HYPERLINK("https://mbd.baidu.com/newspage/data/landingshare?nid=news_9818208476029824425","https://mbd.baidu.com/newspage/data/landingshare?nid=news_9818208476029824425")</f>
        <v>https://mbd.baidu.com/newspage/data/landingshare?nid=news_9818208476029824425</v>
      </c>
      <c r="I847" s="3" t="s">
        <v>1235</v>
      </c>
      <c r="J847" t="s">
        <v>16</v>
      </c>
    </row>
    <row r="848" ht="23" customHeight="1" spans="1:10">
      <c r="A848" s="2">
        <v>847</v>
      </c>
      <c r="B848" s="3" t="s">
        <v>1233</v>
      </c>
      <c r="C848" s="2" t="s">
        <v>1236</v>
      </c>
      <c r="D848" s="2" t="s">
        <v>40</v>
      </c>
      <c r="E848" s="2" t="s">
        <v>20</v>
      </c>
      <c r="F848" s="2" t="s">
        <v>13</v>
      </c>
      <c r="G848" s="2" t="s">
        <v>21</v>
      </c>
      <c r="H848" s="4" t="str">
        <f>HYPERLINK("https://www.yoojia.com/article/9818208476029824425.html","https://www.yoojia.com/article/9818208476029824425.html")</f>
        <v>https://www.yoojia.com/article/9818208476029824425.html</v>
      </c>
      <c r="I848" s="3" t="s">
        <v>1235</v>
      </c>
      <c r="J848" t="s">
        <v>16</v>
      </c>
    </row>
    <row r="849" ht="23" customHeight="1" spans="1:10">
      <c r="A849" s="2">
        <v>848</v>
      </c>
      <c r="B849" s="3" t="s">
        <v>1237</v>
      </c>
      <c r="C849" s="2" t="s">
        <v>1238</v>
      </c>
      <c r="D849" s="2" t="s">
        <v>34</v>
      </c>
      <c r="E849" s="2" t="s">
        <v>159</v>
      </c>
      <c r="F849" s="2" t="s">
        <v>13</v>
      </c>
      <c r="G849" s="2" t="s">
        <v>21</v>
      </c>
      <c r="H849" s="4" t="str">
        <f>HYPERLINK("https://kandianshare.html5.qq.com/v2/news/2120364130186297666","https://kandianshare.html5.qq.com/v2/news/2120364130186297666")</f>
        <v>https://kandianshare.html5.qq.com/v2/news/2120364130186297666</v>
      </c>
      <c r="I849" s="3" t="s">
        <v>1239</v>
      </c>
      <c r="J849" t="s">
        <v>16</v>
      </c>
    </row>
    <row r="850" ht="23" customHeight="1" spans="1:10">
      <c r="A850" s="2">
        <v>849</v>
      </c>
      <c r="B850" s="3" t="s">
        <v>1237</v>
      </c>
      <c r="C850" s="2" t="s">
        <v>1238</v>
      </c>
      <c r="D850" s="2" t="s">
        <v>35</v>
      </c>
      <c r="E850" s="2" t="s">
        <v>159</v>
      </c>
      <c r="F850" s="2" t="s">
        <v>13</v>
      </c>
      <c r="G850" s="2" t="s">
        <v>21</v>
      </c>
      <c r="H850" s="4" t="str">
        <f>HYPERLINK("https://new.qq.com/rain/a/20250628A03YCE00","https://new.qq.com/rain/a/20250628A03YCE00")</f>
        <v>https://new.qq.com/rain/a/20250628A03YCE00</v>
      </c>
      <c r="I850" s="3" t="s">
        <v>1239</v>
      </c>
      <c r="J850" t="s">
        <v>16</v>
      </c>
    </row>
    <row r="851" ht="23" customHeight="1" spans="1:10">
      <c r="A851" s="2">
        <v>850</v>
      </c>
      <c r="B851" s="3" t="s">
        <v>1237</v>
      </c>
      <c r="C851" s="2" t="s">
        <v>1240</v>
      </c>
      <c r="D851" s="2" t="s">
        <v>40</v>
      </c>
      <c r="E851" s="2" t="s">
        <v>159</v>
      </c>
      <c r="F851" s="2" t="s">
        <v>13</v>
      </c>
      <c r="G851" s="2" t="s">
        <v>21</v>
      </c>
      <c r="H851" s="4" t="str">
        <f>HYPERLINK("https://www.yoojia.com/article/8822375563317746293.html","https://www.yoojia.com/article/8822375563317746293.html")</f>
        <v>https://www.yoojia.com/article/8822375563317746293.html</v>
      </c>
      <c r="I851" s="3" t="s">
        <v>1239</v>
      </c>
      <c r="J851" t="s">
        <v>16</v>
      </c>
    </row>
    <row r="852" ht="23" customHeight="1" spans="1:10">
      <c r="A852" s="2">
        <v>851</v>
      </c>
      <c r="B852" s="3" t="s">
        <v>1237</v>
      </c>
      <c r="C852" s="2" t="s">
        <v>1240</v>
      </c>
      <c r="D852" s="2" t="s">
        <v>41</v>
      </c>
      <c r="E852" s="2" t="s">
        <v>159</v>
      </c>
      <c r="F852" s="2" t="s">
        <v>13</v>
      </c>
      <c r="G852" s="2" t="s">
        <v>21</v>
      </c>
      <c r="H852" s="4" t="str">
        <f>HYPERLINK("https://mbd.baidu.com/newspage/data/landingshare?nid=news_8822375563317746293","https://mbd.baidu.com/newspage/data/landingshare?nid=news_8822375563317746293")</f>
        <v>https://mbd.baidu.com/newspage/data/landingshare?nid=news_8822375563317746293</v>
      </c>
      <c r="I852" s="3" t="s">
        <v>1239</v>
      </c>
      <c r="J852" t="s">
        <v>16</v>
      </c>
    </row>
    <row r="853" ht="23" customHeight="1" spans="1:10">
      <c r="A853" s="2">
        <v>852</v>
      </c>
      <c r="B853" s="3" t="s">
        <v>1233</v>
      </c>
      <c r="C853" s="2" t="s">
        <v>1241</v>
      </c>
      <c r="D853" s="2" t="s">
        <v>20</v>
      </c>
      <c r="E853" s="2" t="s">
        <v>1242</v>
      </c>
      <c r="F853" s="2" t="s">
        <v>37</v>
      </c>
      <c r="G853" s="2" t="s">
        <v>21</v>
      </c>
      <c r="H853" s="4" t="str">
        <f>HYPERLINK("https://sghservices.shobserver.com/share/detail.html?id=1602667","https://sghservices.shobserver.com/share/detail.html?id=1602667")</f>
        <v>https://sghservices.shobserver.com/share/detail.html?id=1602667</v>
      </c>
      <c r="I853" s="3" t="s">
        <v>1243</v>
      </c>
      <c r="J853" t="s">
        <v>16</v>
      </c>
    </row>
    <row r="854" ht="23" customHeight="1" spans="1:10">
      <c r="A854" s="2">
        <v>853</v>
      </c>
      <c r="B854" s="3" t="s">
        <v>1237</v>
      </c>
      <c r="C854" s="2" t="s">
        <v>1244</v>
      </c>
      <c r="D854" s="2" t="s">
        <v>159</v>
      </c>
      <c r="E854" s="2" t="s">
        <v>1245</v>
      </c>
      <c r="F854" s="2" t="s">
        <v>13</v>
      </c>
      <c r="G854" s="2" t="s">
        <v>21</v>
      </c>
      <c r="H854" s="4" t="str">
        <f>HYPERLINK("https://static.zhoudaosh.com/files/cnews/2025/20250628/2B05898E7CC7F174E3ED7FC046F687AAB2A18EC8AA877E037AD2AA65AA2E8D8A/1.html","https://static.zhoudaosh.com/files/cnews/2025/20250628/2B05898E7CC7F174E3ED7FC046F687AAB2A18EC8AA877E037AD2AA65AA2E8D8A/1.html")</f>
        <v>https://static.zhoudaosh.com/files/cnews/2025/20250628/2B05898E7CC7F174E3ED7FC046F687AAB2A18EC8AA877E037AD2AA65AA2E8D8A/1.html</v>
      </c>
      <c r="I854" s="3" t="s">
        <v>1239</v>
      </c>
      <c r="J854" t="s">
        <v>16</v>
      </c>
    </row>
    <row r="855" ht="23" customHeight="1" spans="1:10">
      <c r="A855" s="2">
        <v>854</v>
      </c>
      <c r="B855" s="3" t="s">
        <v>1233</v>
      </c>
      <c r="C855" s="2" t="s">
        <v>1246</v>
      </c>
      <c r="D855" s="2" t="s">
        <v>40</v>
      </c>
      <c r="E855" s="2" t="s">
        <v>20</v>
      </c>
      <c r="F855" s="2" t="s">
        <v>13</v>
      </c>
      <c r="G855" s="2" t="s">
        <v>21</v>
      </c>
      <c r="H855" s="4" t="str">
        <f>HYPERLINK("https://www.yoojia.com/article/9736137990289098586.html","https://www.yoojia.com/article/9736137990289098586.html")</f>
        <v>https://www.yoojia.com/article/9736137990289098586.html</v>
      </c>
      <c r="I855" s="3" t="s">
        <v>1235</v>
      </c>
      <c r="J855" t="s">
        <v>16</v>
      </c>
    </row>
    <row r="856" ht="23" customHeight="1" spans="1:10">
      <c r="A856" s="2">
        <v>855</v>
      </c>
      <c r="B856" s="3" t="s">
        <v>1233</v>
      </c>
      <c r="C856" s="2" t="s">
        <v>1247</v>
      </c>
      <c r="D856" s="2" t="s">
        <v>46</v>
      </c>
      <c r="E856" s="2" t="s">
        <v>618</v>
      </c>
      <c r="F856" s="2" t="s">
        <v>37</v>
      </c>
      <c r="G856" s="2" t="s">
        <v>26</v>
      </c>
      <c r="H856" s="4" t="str">
        <f>HYPERLINK("https://3g.k.sohu.com/t/n903166193?serialId=7e90ec9c6427aabfd113174b145d373c&amp;showType=903166193","https://3g.k.sohu.com/t/n903166193?serialId=7e90ec9c6427aabfd113174b145d373c&amp;showType=903166193")</f>
        <v>https://3g.k.sohu.com/t/n903166193?serialId=7e90ec9c6427aabfd113174b145d373c&amp;showType=903166193</v>
      </c>
      <c r="I856" s="3" t="s">
        <v>1248</v>
      </c>
      <c r="J856" t="s">
        <v>16</v>
      </c>
    </row>
    <row r="857" ht="23" customHeight="1" spans="1:10">
      <c r="A857" s="2">
        <v>856</v>
      </c>
      <c r="B857" s="3" t="s">
        <v>1249</v>
      </c>
      <c r="C857" s="2" t="s">
        <v>1250</v>
      </c>
      <c r="D857" s="2" t="s">
        <v>1251</v>
      </c>
      <c r="E857" s="2" t="s">
        <v>1252</v>
      </c>
      <c r="F857" s="2" t="s">
        <v>37</v>
      </c>
      <c r="G857" s="2" t="s">
        <v>26</v>
      </c>
      <c r="H857" s="4" t="str">
        <f>HYPERLINK("http://m.uczzd.cn/ucnews/news?aid=16898923874930563737","http://m.uczzd.cn/ucnews/news?aid=16898923874930563737")</f>
        <v>http://m.uczzd.cn/ucnews/news?aid=16898923874930563737</v>
      </c>
      <c r="I857" s="3" t="s">
        <v>1232</v>
      </c>
      <c r="J857" t="s">
        <v>16</v>
      </c>
    </row>
    <row r="858" ht="23" customHeight="1" spans="1:10">
      <c r="A858" s="2">
        <v>857</v>
      </c>
      <c r="B858" s="3" t="s">
        <v>1249</v>
      </c>
      <c r="C858" s="2" t="s">
        <v>1253</v>
      </c>
      <c r="D858" s="2" t="s">
        <v>41</v>
      </c>
      <c r="E858" s="2" t="s">
        <v>716</v>
      </c>
      <c r="F858" s="2" t="s">
        <v>13</v>
      </c>
      <c r="G858" s="2" t="s">
        <v>26</v>
      </c>
      <c r="H858" s="4" t="str">
        <f>HYPERLINK("https://mbd.baidu.com/newspage/data/landingshare?nid=news_9640414293263465335","https://mbd.baidu.com/newspage/data/landingshare?nid=news_9640414293263465335")</f>
        <v>https://mbd.baidu.com/newspage/data/landingshare?nid=news_9640414293263465335</v>
      </c>
      <c r="I858" s="3" t="s">
        <v>1232</v>
      </c>
      <c r="J858" t="s">
        <v>16</v>
      </c>
    </row>
    <row r="859" ht="23" customHeight="1" spans="1:10">
      <c r="A859" s="2">
        <v>858</v>
      </c>
      <c r="B859" s="3" t="s">
        <v>1254</v>
      </c>
      <c r="C859" s="2" t="s">
        <v>1255</v>
      </c>
      <c r="D859" s="2" t="s">
        <v>1256</v>
      </c>
      <c r="E859" s="2" t="s">
        <v>1256</v>
      </c>
      <c r="F859" s="2" t="s">
        <v>13</v>
      </c>
      <c r="G859" s="2" t="s">
        <v>26</v>
      </c>
      <c r="H859" s="4" t="str">
        <f>HYPERLINK("http://www.hqcbm.cn/guancha/89178.html","http://www.hqcbm.cn/guancha/89178.html")</f>
        <v>http://www.hqcbm.cn/guancha/89178.html</v>
      </c>
      <c r="I859" s="3" t="s">
        <v>1257</v>
      </c>
      <c r="J859" t="s">
        <v>16</v>
      </c>
    </row>
    <row r="860" ht="23" customHeight="1" spans="1:10">
      <c r="A860" s="2">
        <v>859</v>
      </c>
      <c r="B860" s="3" t="s">
        <v>1229</v>
      </c>
      <c r="C860" s="2" t="s">
        <v>1258</v>
      </c>
      <c r="D860" s="2" t="s">
        <v>1231</v>
      </c>
      <c r="E860" s="2" t="s">
        <v>1231</v>
      </c>
      <c r="F860" s="2" t="s">
        <v>13</v>
      </c>
      <c r="G860" s="2" t="s">
        <v>14</v>
      </c>
      <c r="H860" s="4" t="str">
        <f>HYPERLINK("http://jjdf.chinadevelopment.com.cn/xw/2025/06/1949465.shtml","http://jjdf.chinadevelopment.com.cn/xw/2025/06/1949465.shtml")</f>
        <v>http://jjdf.chinadevelopment.com.cn/xw/2025/06/1949465.shtml</v>
      </c>
      <c r="I860" s="3" t="s">
        <v>1232</v>
      </c>
      <c r="J860" t="s">
        <v>16</v>
      </c>
    </row>
    <row r="861" ht="23" customHeight="1" spans="1:10">
      <c r="A861" s="2">
        <v>860</v>
      </c>
      <c r="B861" s="3" t="s">
        <v>1229</v>
      </c>
      <c r="C861" s="2" t="s">
        <v>1259</v>
      </c>
      <c r="D861" s="2" t="s">
        <v>11</v>
      </c>
      <c r="E861" s="2" t="s">
        <v>1260</v>
      </c>
      <c r="F861" s="2" t="s">
        <v>13</v>
      </c>
      <c r="G861" s="2" t="s">
        <v>26</v>
      </c>
      <c r="H861" s="4" t="str">
        <f>HYPERLINK("https://www.toutiao.com/article/7519825114918240820/","https://www.toutiao.com/article/7519825114918240820/")</f>
        <v>https://www.toutiao.com/article/7519825114918240820/</v>
      </c>
      <c r="I861" s="3" t="s">
        <v>1232</v>
      </c>
      <c r="J861" t="s">
        <v>16</v>
      </c>
    </row>
    <row r="862" ht="23" customHeight="1" spans="1:10">
      <c r="A862" s="2">
        <v>861</v>
      </c>
      <c r="B862" s="3" t="s">
        <v>1261</v>
      </c>
      <c r="C862" s="2" t="s">
        <v>1262</v>
      </c>
      <c r="D862" s="2" t="s">
        <v>107</v>
      </c>
      <c r="E862" s="2" t="s">
        <v>829</v>
      </c>
      <c r="F862" s="2" t="s">
        <v>13</v>
      </c>
      <c r="G862" s="2" t="s">
        <v>21</v>
      </c>
      <c r="H862" s="4" t="str">
        <f>HYPERLINK("https://k.sina.cn/article_1737737970_6793c6f202001pw7k.html","https://k.sina.cn/article_1737737970_6793c6f202001pw7k.html")</f>
        <v>https://k.sina.cn/article_1737737970_6793c6f202001pw7k.html</v>
      </c>
      <c r="I862" s="3" t="s">
        <v>1263</v>
      </c>
      <c r="J862" t="s">
        <v>16</v>
      </c>
    </row>
    <row r="863" ht="23" customHeight="1" spans="1:10">
      <c r="A863" s="2">
        <v>862</v>
      </c>
      <c r="B863" s="3" t="s">
        <v>1261</v>
      </c>
      <c r="C863" s="2" t="s">
        <v>1264</v>
      </c>
      <c r="D863" s="2" t="s">
        <v>29</v>
      </c>
      <c r="E863" s="2" t="s">
        <v>829</v>
      </c>
      <c r="F863" s="2" t="s">
        <v>13</v>
      </c>
      <c r="G863" s="2" t="s">
        <v>21</v>
      </c>
      <c r="H863" s="4" t="str">
        <f>HYPERLINK("https://finance.sina.cn/2025-06-25/detail-infchqmk5657713.d.html","https://finance.sina.cn/2025-06-25/detail-infchqmk5657713.d.html")</f>
        <v>https://finance.sina.cn/2025-06-25/detail-infchqmk5657713.d.html</v>
      </c>
      <c r="I863" s="3" t="s">
        <v>1263</v>
      </c>
      <c r="J863" t="s">
        <v>16</v>
      </c>
    </row>
    <row r="864" ht="23" customHeight="1" spans="1:10">
      <c r="A864" s="2">
        <v>863</v>
      </c>
      <c r="B864" s="3" t="s">
        <v>1261</v>
      </c>
      <c r="C864" s="2" t="s">
        <v>1265</v>
      </c>
      <c r="D864" s="2" t="s">
        <v>32</v>
      </c>
      <c r="E864" s="2" t="s">
        <v>32</v>
      </c>
      <c r="F864" s="2" t="s">
        <v>145</v>
      </c>
      <c r="G864" s="2" t="s">
        <v>21</v>
      </c>
      <c r="H864" s="4" t="str">
        <f>HYPERLINK("https://paper.xinmin.cn/html/xmwb/2025-06-25/3/214807.html","https://paper.xinmin.cn/html/xmwb/2025-06-25/3/214807.html")</f>
        <v>https://paper.xinmin.cn/html/xmwb/2025-06-25/3/214807.html</v>
      </c>
      <c r="I864" s="3" t="s">
        <v>1263</v>
      </c>
      <c r="J864" t="s">
        <v>16</v>
      </c>
    </row>
    <row r="865" ht="23" customHeight="1" spans="1:10">
      <c r="A865" s="2">
        <v>864</v>
      </c>
      <c r="B865" s="3" t="s">
        <v>1261</v>
      </c>
      <c r="C865" s="2" t="s">
        <v>1266</v>
      </c>
      <c r="D865" s="2" t="s">
        <v>32</v>
      </c>
      <c r="E865" s="2" t="s">
        <v>32</v>
      </c>
      <c r="F865" s="2" t="s">
        <v>145</v>
      </c>
      <c r="G865" s="2" t="s">
        <v>21</v>
      </c>
      <c r="H865" s="4" t="str">
        <f>HYPERLINK("https://paper.xinmin.cn/html/xmwb/2025-06-25/3/214741.html","https://paper.xinmin.cn/html/xmwb/2025-06-25/3/214741.html")</f>
        <v>https://paper.xinmin.cn/html/xmwb/2025-06-25/3/214741.html</v>
      </c>
      <c r="I865" s="3" t="s">
        <v>1263</v>
      </c>
      <c r="J865" t="s">
        <v>16</v>
      </c>
    </row>
    <row r="866" ht="23" customHeight="1" spans="1:10">
      <c r="A866" s="2">
        <v>865</v>
      </c>
      <c r="B866" s="3" t="s">
        <v>1267</v>
      </c>
      <c r="C866" s="2" t="s">
        <v>1268</v>
      </c>
      <c r="D866" s="2" t="s">
        <v>32</v>
      </c>
      <c r="E866" s="2" t="s">
        <v>1269</v>
      </c>
      <c r="F866" s="2" t="s">
        <v>145</v>
      </c>
      <c r="G866" s="2" t="s">
        <v>21</v>
      </c>
      <c r="H866" s="4" t="str">
        <f>HYPERLINK("https://web.shobserver.com/staticsg/res/html/journal/detail.html?code=xmwb&amp;date=2025-06-25&amp;id=444046&amp;page=3","https://web.shobserver.com/staticsg/res/html/journal/detail.html?code=xmwb&amp;date=2025-06-25&amp;id=444046&amp;page=3")</f>
        <v>https://web.shobserver.com/staticsg/res/html/journal/detail.html?code=xmwb&amp;date=2025-06-25&amp;id=444046&amp;page=3</v>
      </c>
      <c r="I866" s="3" t="s">
        <v>1263</v>
      </c>
      <c r="J866" t="s">
        <v>16</v>
      </c>
    </row>
    <row r="867" ht="23" customHeight="1" spans="1:10">
      <c r="A867" s="2">
        <v>866</v>
      </c>
      <c r="B867" s="3" t="s">
        <v>1270</v>
      </c>
      <c r="C867" s="2" t="s">
        <v>1271</v>
      </c>
      <c r="D867" s="2" t="s">
        <v>428</v>
      </c>
      <c r="E867" s="2" t="s">
        <v>1269</v>
      </c>
      <c r="F867" s="2" t="s">
        <v>13</v>
      </c>
      <c r="G867" s="2" t="s">
        <v>14</v>
      </c>
      <c r="H867" s="4" t="str">
        <f>HYPERLINK("https://www.xuexi.cn/lgpage/detail/index.html?id=12374544512842693253&amp;item_id=12374544512842693253","https://www.xuexi.cn/lgpage/detail/index.html?id=12374544512842693253&amp;item_id=12374544512842693253")</f>
        <v>https://www.xuexi.cn/lgpage/detail/index.html?id=12374544512842693253&amp;item_id=12374544512842693253</v>
      </c>
      <c r="I867" s="3" t="s">
        <v>1272</v>
      </c>
      <c r="J867" t="s">
        <v>16</v>
      </c>
    </row>
    <row r="868" ht="23" customHeight="1" spans="1:10">
      <c r="A868" s="2">
        <v>867</v>
      </c>
      <c r="B868" s="3" t="s">
        <v>1273</v>
      </c>
      <c r="C868" s="2" t="s">
        <v>1271</v>
      </c>
      <c r="D868" s="2" t="s">
        <v>428</v>
      </c>
      <c r="E868" s="2" t="s">
        <v>1269</v>
      </c>
      <c r="F868" s="2" t="s">
        <v>13</v>
      </c>
      <c r="G868" s="2" t="s">
        <v>14</v>
      </c>
      <c r="H868" s="4" t="str">
        <f>HYPERLINK("https://article.xuexi.cn/articles/index.html?art_id=12374544512842693253","https://article.xuexi.cn/articles/index.html?art_id=12374544512842693253")</f>
        <v>https://article.xuexi.cn/articles/index.html?art_id=12374544512842693253</v>
      </c>
      <c r="I868" s="3" t="s">
        <v>1272</v>
      </c>
      <c r="J868" t="s">
        <v>16</v>
      </c>
    </row>
    <row r="869" ht="23" customHeight="1" spans="1:10">
      <c r="A869" s="2">
        <v>868</v>
      </c>
      <c r="B869" s="3" t="s">
        <v>1274</v>
      </c>
      <c r="C869" s="2" t="s">
        <v>1275</v>
      </c>
      <c r="D869" s="2" t="s">
        <v>428</v>
      </c>
      <c r="E869" s="2" t="s">
        <v>1269</v>
      </c>
      <c r="F869" s="2" t="s">
        <v>13</v>
      </c>
      <c r="G869" s="2" t="s">
        <v>14</v>
      </c>
      <c r="H869" s="4" t="str">
        <f>HYPERLINK("https://article.xuexi.cn/articles/index.html?art_id=5240250445861165851&amp;cdn=https://region-shanghai-resource","https://article.xuexi.cn/articles/index.html?art_id=5240250445861165851&amp;cdn=https://region-shanghai-resource")</f>
        <v>https://article.xuexi.cn/articles/index.html?art_id=5240250445861165851&amp;cdn=https://region-shanghai-resource</v>
      </c>
      <c r="I869" s="3" t="s">
        <v>1276</v>
      </c>
      <c r="J869" t="s">
        <v>16</v>
      </c>
    </row>
    <row r="870" ht="23" customHeight="1" spans="1:10">
      <c r="A870" s="2">
        <v>869</v>
      </c>
      <c r="B870" s="3" t="s">
        <v>1277</v>
      </c>
      <c r="C870" s="2" t="s">
        <v>1278</v>
      </c>
      <c r="D870" s="2" t="s">
        <v>35</v>
      </c>
      <c r="E870" s="2" t="s">
        <v>81</v>
      </c>
      <c r="F870" s="2" t="s">
        <v>13</v>
      </c>
      <c r="G870" s="2" t="s">
        <v>21</v>
      </c>
      <c r="H870" s="4" t="str">
        <f>HYPERLINK("https://new.qq.com/rain/a/20250625A03R5200","https://new.qq.com/rain/a/20250625A03R5200")</f>
        <v>https://new.qq.com/rain/a/20250625A03R5200</v>
      </c>
      <c r="I870" s="3" t="s">
        <v>1279</v>
      </c>
      <c r="J870" t="s">
        <v>16</v>
      </c>
    </row>
    <row r="871" ht="23" customHeight="1" spans="1:10">
      <c r="A871" s="2">
        <v>870</v>
      </c>
      <c r="B871" s="3" t="s">
        <v>1277</v>
      </c>
      <c r="C871" s="2" t="s">
        <v>1278</v>
      </c>
      <c r="D871" s="2" t="s">
        <v>34</v>
      </c>
      <c r="E871" s="2" t="s">
        <v>81</v>
      </c>
      <c r="F871" s="2" t="s">
        <v>13</v>
      </c>
      <c r="G871" s="2" t="s">
        <v>21</v>
      </c>
      <c r="H871" s="4" t="str">
        <f>HYPERLINK("https://kandianshare.html5.qq.com/v2/news/1093542856136243522","https://kandianshare.html5.qq.com/v2/news/1093542856136243522")</f>
        <v>https://kandianshare.html5.qq.com/v2/news/1093542856136243522</v>
      </c>
      <c r="I871" s="3" t="s">
        <v>1279</v>
      </c>
      <c r="J871" t="s">
        <v>16</v>
      </c>
    </row>
    <row r="872" ht="23" customHeight="1" spans="1:10">
      <c r="A872" s="2">
        <v>871</v>
      </c>
      <c r="B872" s="3" t="s">
        <v>1277</v>
      </c>
      <c r="C872" s="2" t="s">
        <v>1280</v>
      </c>
      <c r="D872" s="2" t="s">
        <v>19</v>
      </c>
      <c r="E872" s="2" t="s">
        <v>81</v>
      </c>
      <c r="F872" s="2" t="s">
        <v>37</v>
      </c>
      <c r="G872" s="2" t="s">
        <v>21</v>
      </c>
      <c r="H872" s="4" t="str">
        <f>HYPERLINK("https://c.m.163.com/news/a/K2T932CL0514R9P4.html","https://c.m.163.com/news/a/K2T932CL0514R9P4.html")</f>
        <v>https://c.m.163.com/news/a/K2T932CL0514R9P4.html</v>
      </c>
      <c r="I872" s="3" t="s">
        <v>1279</v>
      </c>
      <c r="J872" t="s">
        <v>16</v>
      </c>
    </row>
    <row r="873" ht="23" customHeight="1" spans="1:10">
      <c r="A873" s="2">
        <v>872</v>
      </c>
      <c r="B873" s="3" t="s">
        <v>1277</v>
      </c>
      <c r="C873" s="2" t="s">
        <v>1281</v>
      </c>
      <c r="D873" s="2" t="s">
        <v>29</v>
      </c>
      <c r="E873" s="2" t="s">
        <v>81</v>
      </c>
      <c r="F873" s="2" t="s">
        <v>13</v>
      </c>
      <c r="G873" s="2" t="s">
        <v>21</v>
      </c>
      <c r="H873" s="4" t="str">
        <f>HYPERLINK("https://finance.sina.cn/2025-06-25/detail-infchcvt4739354.d.html","https://finance.sina.cn/2025-06-25/detail-infchcvt4739354.d.html")</f>
        <v>https://finance.sina.cn/2025-06-25/detail-infchcvt4739354.d.html</v>
      </c>
      <c r="I873" s="3" t="s">
        <v>1279</v>
      </c>
      <c r="J873" t="s">
        <v>16</v>
      </c>
    </row>
    <row r="874" ht="23" customHeight="1" spans="1:10">
      <c r="A874" s="2">
        <v>873</v>
      </c>
      <c r="B874" s="3" t="s">
        <v>1277</v>
      </c>
      <c r="C874" s="2" t="s">
        <v>1281</v>
      </c>
      <c r="D874" s="2" t="s">
        <v>11</v>
      </c>
      <c r="E874" s="2" t="s">
        <v>81</v>
      </c>
      <c r="F874" s="2" t="s">
        <v>13</v>
      </c>
      <c r="G874" s="2" t="s">
        <v>21</v>
      </c>
      <c r="H874" s="4" t="str">
        <f>HYPERLINK("https://www.toutiao.com/article/7519735241461547560/","https://www.toutiao.com/article/7519735241461547560/")</f>
        <v>https://www.toutiao.com/article/7519735241461547560/</v>
      </c>
      <c r="I874" s="3" t="s">
        <v>1279</v>
      </c>
      <c r="J874" t="s">
        <v>16</v>
      </c>
    </row>
    <row r="875" ht="23" customHeight="1" spans="1:10">
      <c r="A875" s="2">
        <v>874</v>
      </c>
      <c r="B875" s="3" t="s">
        <v>1277</v>
      </c>
      <c r="C875" s="2" t="s">
        <v>1282</v>
      </c>
      <c r="D875" s="2" t="s">
        <v>387</v>
      </c>
      <c r="E875" s="2" t="s">
        <v>81</v>
      </c>
      <c r="F875" s="2" t="s">
        <v>13</v>
      </c>
      <c r="G875" s="2" t="s">
        <v>21</v>
      </c>
      <c r="H875" s="4" t="str">
        <f>HYPERLINK("https://qlwb.com.cn/detail/26271600.html","https://qlwb.com.cn/detail/26271600.html")</f>
        <v>https://qlwb.com.cn/detail/26271600.html</v>
      </c>
      <c r="I875" s="3" t="s">
        <v>1279</v>
      </c>
      <c r="J875" t="s">
        <v>16</v>
      </c>
    </row>
    <row r="876" ht="23" customHeight="1" spans="1:10">
      <c r="A876" s="2">
        <v>875</v>
      </c>
      <c r="B876" s="3" t="s">
        <v>1277</v>
      </c>
      <c r="C876" s="2" t="s">
        <v>1282</v>
      </c>
      <c r="D876" s="2" t="s">
        <v>46</v>
      </c>
      <c r="E876" s="2" t="s">
        <v>81</v>
      </c>
      <c r="F876" s="2" t="s">
        <v>37</v>
      </c>
      <c r="G876" s="2" t="s">
        <v>21</v>
      </c>
      <c r="H876" s="4" t="str">
        <f>HYPERLINK("https://3g.k.sohu.com/t/n902300521?serialId=f6676a163c16b87078ff9ba8791e567a&amp;showType=902300521","https://3g.k.sohu.com/t/n902300521?serialId=f6676a163c16b87078ff9ba8791e567a&amp;showType=902300521")</f>
        <v>https://3g.k.sohu.com/t/n902300521?serialId=f6676a163c16b87078ff9ba8791e567a&amp;showType=902300521</v>
      </c>
      <c r="I876" s="3" t="s">
        <v>1279</v>
      </c>
      <c r="J876" t="s">
        <v>16</v>
      </c>
    </row>
    <row r="877" ht="23" customHeight="1" spans="1:10">
      <c r="A877" s="2">
        <v>876</v>
      </c>
      <c r="B877" s="3" t="s">
        <v>1277</v>
      </c>
      <c r="C877" s="2" t="s">
        <v>1282</v>
      </c>
      <c r="D877" s="2" t="s">
        <v>46</v>
      </c>
      <c r="E877" s="2" t="s">
        <v>81</v>
      </c>
      <c r="F877" s="2" t="s">
        <v>13</v>
      </c>
      <c r="G877" s="2" t="s">
        <v>21</v>
      </c>
      <c r="H877" s="4" t="str">
        <f>HYPERLINK("https://www.sohu.com/a/907709234_260616","https://www.sohu.com/a/907709234_260616")</f>
        <v>https://www.sohu.com/a/907709234_260616</v>
      </c>
      <c r="I877" s="3" t="s">
        <v>1279</v>
      </c>
      <c r="J877" t="s">
        <v>16</v>
      </c>
    </row>
    <row r="878" ht="23" customHeight="1" spans="1:10">
      <c r="A878" s="2">
        <v>877</v>
      </c>
      <c r="B878" s="3" t="s">
        <v>1277</v>
      </c>
      <c r="C878" s="2" t="s">
        <v>1283</v>
      </c>
      <c r="D878" s="2" t="s">
        <v>450</v>
      </c>
      <c r="E878" s="2" t="s">
        <v>81</v>
      </c>
      <c r="F878" s="2" t="s">
        <v>13</v>
      </c>
      <c r="G878" s="2" t="s">
        <v>21</v>
      </c>
      <c r="H878" s="4" t="str">
        <f>HYPERLINK("http://a.mp.uc.cn/article.html?uc_param_str=frdnsnpfvecpntnwprdssskt&amp;wm_cid=693702656377499648","http://a.mp.uc.cn/article.html?uc_param_str=frdnsnpfvecpntnwprdssskt&amp;wm_cid=693702656377499648")</f>
        <v>http://a.mp.uc.cn/article.html?uc_param_str=frdnsnpfvecpntnwprdssskt&amp;wm_cid=693702656377499648</v>
      </c>
      <c r="I878" s="3" t="s">
        <v>1279</v>
      </c>
      <c r="J878" t="s">
        <v>16</v>
      </c>
    </row>
    <row r="879" ht="23" customHeight="1" spans="1:10">
      <c r="A879" s="2">
        <v>878</v>
      </c>
      <c r="B879" s="3" t="s">
        <v>1277</v>
      </c>
      <c r="C879" s="2" t="s">
        <v>1283</v>
      </c>
      <c r="D879" s="2" t="s">
        <v>1251</v>
      </c>
      <c r="E879" s="2" t="s">
        <v>1284</v>
      </c>
      <c r="F879" s="2" t="s">
        <v>37</v>
      </c>
      <c r="G879" s="2" t="s">
        <v>26</v>
      </c>
      <c r="H879" s="4" t="str">
        <f>HYPERLINK("http://m.uczzd.cn/ucnews/news?aid=14745110092633722006","http://m.uczzd.cn/ucnews/news?aid=14745110092633722006")</f>
        <v>http://m.uczzd.cn/ucnews/news?aid=14745110092633722006</v>
      </c>
      <c r="I879" s="3" t="s">
        <v>1279</v>
      </c>
      <c r="J879" t="s">
        <v>16</v>
      </c>
    </row>
    <row r="880" ht="23" customHeight="1" spans="1:10">
      <c r="A880" s="2">
        <v>879</v>
      </c>
      <c r="B880" s="3" t="s">
        <v>1285</v>
      </c>
      <c r="C880" s="2" t="s">
        <v>1283</v>
      </c>
      <c r="D880" s="2" t="s">
        <v>450</v>
      </c>
      <c r="E880" s="2" t="s">
        <v>81</v>
      </c>
      <c r="F880" s="2" t="s">
        <v>37</v>
      </c>
      <c r="G880" s="2" t="s">
        <v>21</v>
      </c>
      <c r="H880" s="4" t="str">
        <f>HYPERLINK("http://m.uczzd.cn/ucnews/news?aid=837300181338233928","http://m.uczzd.cn/ucnews/news?aid=837300181338233928")</f>
        <v>http://m.uczzd.cn/ucnews/news?aid=837300181338233928</v>
      </c>
      <c r="I880" s="3" t="s">
        <v>1279</v>
      </c>
      <c r="J880" t="s">
        <v>16</v>
      </c>
    </row>
    <row r="881" ht="23" customHeight="1" spans="1:10">
      <c r="A881" s="2">
        <v>880</v>
      </c>
      <c r="B881" s="3" t="s">
        <v>1277</v>
      </c>
      <c r="C881" s="2" t="s">
        <v>1286</v>
      </c>
      <c r="D881" s="2" t="s">
        <v>379</v>
      </c>
      <c r="E881" s="2" t="s">
        <v>81</v>
      </c>
      <c r="F881" s="2" t="s">
        <v>13</v>
      </c>
      <c r="G881" s="2" t="s">
        <v>21</v>
      </c>
      <c r="H881" s="4" t="str">
        <f>HYPERLINK("http://www.yidianzixun.com/article/11oIU3L2","http://www.yidianzixun.com/article/11oIU3L2")</f>
        <v>http://www.yidianzixun.com/article/11oIU3L2</v>
      </c>
      <c r="I881" s="3" t="s">
        <v>1279</v>
      </c>
      <c r="J881" t="s">
        <v>16</v>
      </c>
    </row>
    <row r="882" ht="23" customHeight="1" spans="1:10">
      <c r="A882" s="2">
        <v>881</v>
      </c>
      <c r="B882" s="3" t="s">
        <v>1277</v>
      </c>
      <c r="C882" s="2" t="s">
        <v>1286</v>
      </c>
      <c r="D882" s="2" t="s">
        <v>1226</v>
      </c>
      <c r="E882" s="2" t="s">
        <v>81</v>
      </c>
      <c r="F882" s="2" t="s">
        <v>13</v>
      </c>
      <c r="G882" s="2" t="s">
        <v>21</v>
      </c>
      <c r="H882" s="4" t="str">
        <f>HYPERLINK("https://news.sina.com.cn/zx/gj/2025-06-25/doc-infchute7905983.shtml","https://news.sina.com.cn/zx/gj/2025-06-25/doc-infchute7905983.shtml")</f>
        <v>https://news.sina.com.cn/zx/gj/2025-06-25/doc-infchute7905983.shtml</v>
      </c>
      <c r="I882" s="3" t="s">
        <v>1279</v>
      </c>
      <c r="J882" t="s">
        <v>16</v>
      </c>
    </row>
    <row r="883" ht="23" customHeight="1" spans="1:10">
      <c r="A883" s="2">
        <v>882</v>
      </c>
      <c r="B883" s="3" t="s">
        <v>1277</v>
      </c>
      <c r="C883" s="2" t="s">
        <v>1286</v>
      </c>
      <c r="D883" s="2" t="s">
        <v>81</v>
      </c>
      <c r="E883" s="2" t="s">
        <v>81</v>
      </c>
      <c r="F883" s="2" t="s">
        <v>13</v>
      </c>
      <c r="G883" s="2" t="s">
        <v>21</v>
      </c>
      <c r="H883" s="4" t="str">
        <f>HYPERLINK("https://www.thepaper.cn/newsDetail_forward_31039078","https://www.thepaper.cn/newsDetail_forward_31039078")</f>
        <v>https://www.thepaper.cn/newsDetail_forward_31039078</v>
      </c>
      <c r="I883" s="3" t="s">
        <v>1279</v>
      </c>
      <c r="J883" t="s">
        <v>16</v>
      </c>
    </row>
    <row r="884" ht="23" customHeight="1" spans="1:10">
      <c r="A884" s="2">
        <v>883</v>
      </c>
      <c r="B884" s="3" t="s">
        <v>1277</v>
      </c>
      <c r="C884" s="2" t="s">
        <v>1286</v>
      </c>
      <c r="D884" s="2" t="s">
        <v>71</v>
      </c>
      <c r="E884" s="2" t="s">
        <v>71</v>
      </c>
      <c r="F884" s="2" t="s">
        <v>13</v>
      </c>
      <c r="G884" s="2" t="s">
        <v>21</v>
      </c>
      <c r="H884" s="4" t="str">
        <f>HYPERLINK("https://j.eastday.com/p/1750825537041246","https://j.eastday.com/p/1750825537041246")</f>
        <v>https://j.eastday.com/p/1750825537041246</v>
      </c>
      <c r="I884" s="3" t="s">
        <v>1279</v>
      </c>
      <c r="J884" t="s">
        <v>16</v>
      </c>
    </row>
    <row r="885" ht="23" customHeight="1" spans="1:10">
      <c r="A885" s="2">
        <v>884</v>
      </c>
      <c r="B885" s="3" t="s">
        <v>1277</v>
      </c>
      <c r="C885" s="2" t="s">
        <v>1286</v>
      </c>
      <c r="D885" s="2" t="s">
        <v>41</v>
      </c>
      <c r="E885" s="2" t="s">
        <v>81</v>
      </c>
      <c r="F885" s="2" t="s">
        <v>13</v>
      </c>
      <c r="G885" s="2" t="s">
        <v>21</v>
      </c>
      <c r="H885" s="4" t="str">
        <f>HYPERLINK("https://mbd.baidu.com/newspage/data/landingshare?nid=news_9378690780158647608","https://mbd.baidu.com/newspage/data/landingshare?nid=news_9378690780158647608")</f>
        <v>https://mbd.baidu.com/newspage/data/landingshare?nid=news_9378690780158647608</v>
      </c>
      <c r="I885" s="3" t="s">
        <v>1279</v>
      </c>
      <c r="J885" t="s">
        <v>16</v>
      </c>
    </row>
    <row r="886" ht="23" customHeight="1" spans="1:10">
      <c r="A886" s="2">
        <v>885</v>
      </c>
      <c r="B886" s="3" t="s">
        <v>1277</v>
      </c>
      <c r="C886" s="2" t="s">
        <v>1286</v>
      </c>
      <c r="D886" s="2" t="s">
        <v>40</v>
      </c>
      <c r="E886" s="2" t="s">
        <v>81</v>
      </c>
      <c r="F886" s="2" t="s">
        <v>13</v>
      </c>
      <c r="G886" s="2" t="s">
        <v>21</v>
      </c>
      <c r="H886" s="4" t="str">
        <f>HYPERLINK("https://www.yoojia.com/article/9378690780158647608.html","https://www.yoojia.com/article/9378690780158647608.html")</f>
        <v>https://www.yoojia.com/article/9378690780158647608.html</v>
      </c>
      <c r="I886" s="3" t="s">
        <v>1279</v>
      </c>
      <c r="J886" t="s">
        <v>16</v>
      </c>
    </row>
    <row r="887" ht="23" customHeight="1" spans="1:10">
      <c r="A887" s="2">
        <v>886</v>
      </c>
      <c r="B887" s="3" t="s">
        <v>1277</v>
      </c>
      <c r="C887" s="2" t="s">
        <v>1286</v>
      </c>
      <c r="D887" s="2" t="s">
        <v>334</v>
      </c>
      <c r="E887" s="2" t="s">
        <v>334</v>
      </c>
      <c r="F887" s="2" t="s">
        <v>37</v>
      </c>
      <c r="G887" s="2" t="s">
        <v>26</v>
      </c>
      <c r="H887" s="4" t="str">
        <f>HYPERLINK("https://j.021east.com/m/1750825537041246","https://j.021east.com/m/1750825537041246")</f>
        <v>https://j.021east.com/m/1750825537041246</v>
      </c>
      <c r="I887" s="3" t="s">
        <v>1279</v>
      </c>
      <c r="J887" t="s">
        <v>16</v>
      </c>
    </row>
    <row r="888" ht="23" customHeight="1" spans="1:10">
      <c r="A888" s="2">
        <v>887</v>
      </c>
      <c r="B888" s="3" t="s">
        <v>1277</v>
      </c>
      <c r="C888" s="2" t="s">
        <v>1286</v>
      </c>
      <c r="D888" s="2" t="s">
        <v>491</v>
      </c>
      <c r="E888" s="2" t="s">
        <v>81</v>
      </c>
      <c r="F888" s="2" t="s">
        <v>13</v>
      </c>
      <c r="G888" s="2" t="s">
        <v>21</v>
      </c>
      <c r="H888" s="4" t="str">
        <f>HYPERLINK("https://ishare.ifeng.com/c/s/8kTFiOoH41g","https://ishare.ifeng.com/c/s/8kTFiOoH41g")</f>
        <v>https://ishare.ifeng.com/c/s/8kTFiOoH41g</v>
      </c>
      <c r="I888" s="3" t="s">
        <v>1279</v>
      </c>
      <c r="J888" t="s">
        <v>16</v>
      </c>
    </row>
    <row r="889" ht="23" customHeight="1" spans="1:10">
      <c r="A889" s="2">
        <v>888</v>
      </c>
      <c r="B889" s="3" t="s">
        <v>1277</v>
      </c>
      <c r="C889" s="2" t="s">
        <v>1286</v>
      </c>
      <c r="D889" s="2" t="s">
        <v>46</v>
      </c>
      <c r="E889" s="2" t="s">
        <v>81</v>
      </c>
      <c r="F889" s="2" t="s">
        <v>37</v>
      </c>
      <c r="G889" s="2" t="s">
        <v>21</v>
      </c>
      <c r="H889" s="4" t="str">
        <f>HYPERLINK("https://3g.k.sohu.com/t/n902301315?serialId=f3df12378b99ac0df943da73933eaea5&amp;showType=902301315","https://3g.k.sohu.com/t/n902301315?serialId=f3df12378b99ac0df943da73933eaea5&amp;showType=902301315")</f>
        <v>https://3g.k.sohu.com/t/n902301315?serialId=f3df12378b99ac0df943da73933eaea5&amp;showType=902301315</v>
      </c>
      <c r="I889" s="3" t="s">
        <v>1279</v>
      </c>
      <c r="J889" t="s">
        <v>16</v>
      </c>
    </row>
    <row r="890" ht="23" customHeight="1" spans="1:10">
      <c r="A890" s="2">
        <v>889</v>
      </c>
      <c r="B890" s="3" t="s">
        <v>1277</v>
      </c>
      <c r="C890" s="2" t="s">
        <v>1286</v>
      </c>
      <c r="D890" s="2" t="s">
        <v>450</v>
      </c>
      <c r="E890" s="2" t="s">
        <v>1287</v>
      </c>
      <c r="F890" s="2" t="s">
        <v>37</v>
      </c>
      <c r="G890" s="2" t="s">
        <v>21</v>
      </c>
      <c r="H890" s="4" t="str">
        <f>HYPERLINK("http://m.uczzd.cn/ucnews/news?aid=10019575989278301291","http://m.uczzd.cn/ucnews/news?aid=10019575989278301291")</f>
        <v>http://m.uczzd.cn/ucnews/news?aid=10019575989278301291</v>
      </c>
      <c r="I890" s="3" t="s">
        <v>1279</v>
      </c>
      <c r="J890" t="s">
        <v>16</v>
      </c>
    </row>
    <row r="891" ht="23" customHeight="1" spans="1:10">
      <c r="A891" s="2">
        <v>890</v>
      </c>
      <c r="B891" s="3" t="s">
        <v>1270</v>
      </c>
      <c r="C891" s="2" t="s">
        <v>1288</v>
      </c>
      <c r="D891" s="2" t="s">
        <v>19</v>
      </c>
      <c r="E891" s="2" t="s">
        <v>20</v>
      </c>
      <c r="F891" s="2" t="s">
        <v>37</v>
      </c>
      <c r="G891" s="2" t="s">
        <v>21</v>
      </c>
      <c r="H891" s="4" t="str">
        <f>HYPERLINK("https://c.m.163.com/news/a/K2T4JL23055040N3.html","https://c.m.163.com/news/a/K2T4JL23055040N3.html")</f>
        <v>https://c.m.163.com/news/a/K2T4JL23055040N3.html</v>
      </c>
      <c r="I891" s="3" t="s">
        <v>1289</v>
      </c>
      <c r="J891" t="s">
        <v>16</v>
      </c>
    </row>
    <row r="892" ht="23" customHeight="1" spans="1:10">
      <c r="A892" s="2">
        <v>891</v>
      </c>
      <c r="B892" s="3" t="s">
        <v>1270</v>
      </c>
      <c r="C892" s="2" t="s">
        <v>1290</v>
      </c>
      <c r="D892" s="2" t="s">
        <v>11</v>
      </c>
      <c r="E892" s="2" t="s">
        <v>32</v>
      </c>
      <c r="F892" s="2" t="s">
        <v>13</v>
      </c>
      <c r="G892" s="2" t="s">
        <v>21</v>
      </c>
      <c r="H892" s="4" t="str">
        <f>HYPERLINK("https://www.toutiao.com/article/7519710296496210443/","https://www.toutiao.com/article/7519710296496210443/")</f>
        <v>https://www.toutiao.com/article/7519710296496210443/</v>
      </c>
      <c r="I892" s="3" t="s">
        <v>1289</v>
      </c>
      <c r="J892" t="s">
        <v>16</v>
      </c>
    </row>
    <row r="893" ht="23" customHeight="1" spans="1:10">
      <c r="A893" s="2">
        <v>892</v>
      </c>
      <c r="B893" s="3" t="s">
        <v>1270</v>
      </c>
      <c r="C893" s="2" t="s">
        <v>1291</v>
      </c>
      <c r="D893" s="2" t="s">
        <v>11</v>
      </c>
      <c r="E893" s="2" t="s">
        <v>20</v>
      </c>
      <c r="F893" s="2" t="s">
        <v>13</v>
      </c>
      <c r="G893" s="2" t="s">
        <v>21</v>
      </c>
      <c r="H893" s="4" t="str">
        <f>HYPERLINK("https://www.toutiao.com/article/7519709198390723072/","https://www.toutiao.com/article/7519709198390723072/")</f>
        <v>https://www.toutiao.com/article/7519709198390723072/</v>
      </c>
      <c r="I893" s="3" t="s">
        <v>1289</v>
      </c>
      <c r="J893" t="s">
        <v>16</v>
      </c>
    </row>
    <row r="894" ht="23" customHeight="1" spans="1:10">
      <c r="A894" s="2">
        <v>893</v>
      </c>
      <c r="B894" s="3" t="s">
        <v>1270</v>
      </c>
      <c r="C894" s="2" t="s">
        <v>1292</v>
      </c>
      <c r="D894" s="2" t="s">
        <v>34</v>
      </c>
      <c r="E894" s="2" t="s">
        <v>32</v>
      </c>
      <c r="F894" s="2" t="s">
        <v>13</v>
      </c>
      <c r="G894" s="2" t="s">
        <v>21</v>
      </c>
      <c r="H894" s="4" t="str">
        <f>HYPERLINK("https://kandianshare.html5.qq.com/v2/news/1760075588091154754","https://kandianshare.html5.qq.com/v2/news/1760075588091154754")</f>
        <v>https://kandianshare.html5.qq.com/v2/news/1760075588091154754</v>
      </c>
      <c r="I894" s="3" t="s">
        <v>1289</v>
      </c>
      <c r="J894" t="s">
        <v>16</v>
      </c>
    </row>
    <row r="895" ht="23" customHeight="1" spans="1:10">
      <c r="A895" s="2">
        <v>894</v>
      </c>
      <c r="B895" s="3" t="s">
        <v>1270</v>
      </c>
      <c r="C895" s="2" t="s">
        <v>1292</v>
      </c>
      <c r="D895" s="2" t="s">
        <v>35</v>
      </c>
      <c r="E895" s="2" t="s">
        <v>32</v>
      </c>
      <c r="F895" s="2" t="s">
        <v>13</v>
      </c>
      <c r="G895" s="2" t="s">
        <v>21</v>
      </c>
      <c r="H895" s="4" t="str">
        <f>HYPERLINK("https://new.qq.com/rain/a/20250625A02VHK00","https://new.qq.com/rain/a/20250625A02VHK00")</f>
        <v>https://new.qq.com/rain/a/20250625A02VHK00</v>
      </c>
      <c r="I895" s="3" t="s">
        <v>1289</v>
      </c>
      <c r="J895" t="s">
        <v>16</v>
      </c>
    </row>
    <row r="896" ht="23" customHeight="1" spans="1:10">
      <c r="A896" s="2">
        <v>895</v>
      </c>
      <c r="B896" s="3" t="s">
        <v>1270</v>
      </c>
      <c r="C896" s="2" t="s">
        <v>1293</v>
      </c>
      <c r="D896" s="2" t="s">
        <v>34</v>
      </c>
      <c r="E896" s="2" t="s">
        <v>20</v>
      </c>
      <c r="F896" s="2" t="s">
        <v>13</v>
      </c>
      <c r="G896" s="2" t="s">
        <v>21</v>
      </c>
      <c r="H896" s="4" t="str">
        <f>HYPERLINK("https://kandianshare.html5.qq.com/v2/news/1255672429543293250","https://kandianshare.html5.qq.com/v2/news/1255672429543293250")</f>
        <v>https://kandianshare.html5.qq.com/v2/news/1255672429543293250</v>
      </c>
      <c r="I896" s="3" t="s">
        <v>1289</v>
      </c>
      <c r="J896" t="s">
        <v>16</v>
      </c>
    </row>
    <row r="897" ht="23" customHeight="1" spans="1:10">
      <c r="A897" s="2">
        <v>896</v>
      </c>
      <c r="B897" s="3" t="s">
        <v>1270</v>
      </c>
      <c r="C897" s="2" t="s">
        <v>1293</v>
      </c>
      <c r="D897" s="2" t="s">
        <v>35</v>
      </c>
      <c r="E897" s="2" t="s">
        <v>20</v>
      </c>
      <c r="F897" s="2" t="s">
        <v>13</v>
      </c>
      <c r="G897" s="2" t="s">
        <v>21</v>
      </c>
      <c r="H897" s="4" t="str">
        <f>HYPERLINK("https://new.qq.com/rain/a/20250625A02UNZ00","https://new.qq.com/rain/a/20250625A02UNZ00")</f>
        <v>https://new.qq.com/rain/a/20250625A02UNZ00</v>
      </c>
      <c r="I897" s="3" t="s">
        <v>1289</v>
      </c>
      <c r="J897" t="s">
        <v>16</v>
      </c>
    </row>
    <row r="898" ht="23" customHeight="1" spans="1:10">
      <c r="A898" s="2">
        <v>897</v>
      </c>
      <c r="B898" s="3" t="s">
        <v>1270</v>
      </c>
      <c r="C898" s="2" t="s">
        <v>1294</v>
      </c>
      <c r="D898" s="2" t="s">
        <v>43</v>
      </c>
      <c r="E898" s="2" t="s">
        <v>1295</v>
      </c>
      <c r="F898" s="2" t="s">
        <v>13</v>
      </c>
      <c r="G898" s="2" t="s">
        <v>21</v>
      </c>
      <c r="H898" s="4" t="str">
        <f>HYPERLINK("https://www.jfdaily.com.cn/staticsg/res/html/web/newsDetail.html?id=935191","https://www.jfdaily.com.cn/staticsg/res/html/web/newsDetail.html?id=935191")</f>
        <v>https://www.jfdaily.com.cn/staticsg/res/html/web/newsDetail.html?id=935191</v>
      </c>
      <c r="I898" s="3" t="s">
        <v>1289</v>
      </c>
      <c r="J898" t="s">
        <v>16</v>
      </c>
    </row>
    <row r="899" ht="23" customHeight="1" spans="1:10">
      <c r="A899" s="2">
        <v>898</v>
      </c>
      <c r="B899" s="3" t="s">
        <v>1270</v>
      </c>
      <c r="C899" s="2" t="s">
        <v>1296</v>
      </c>
      <c r="D899" s="2" t="s">
        <v>46</v>
      </c>
      <c r="E899" s="2" t="s">
        <v>32</v>
      </c>
      <c r="F899" s="2" t="s">
        <v>13</v>
      </c>
      <c r="G899" s="2" t="s">
        <v>21</v>
      </c>
      <c r="H899" s="4" t="str">
        <f>HYPERLINK("https://www.sohu.com/a/907662644_121286085","https://www.sohu.com/a/907662644_121286085")</f>
        <v>https://www.sohu.com/a/907662644_121286085</v>
      </c>
      <c r="I899" s="3" t="s">
        <v>1297</v>
      </c>
      <c r="J899" t="s">
        <v>16</v>
      </c>
    </row>
    <row r="900" ht="23" customHeight="1" spans="1:10">
      <c r="A900" s="2">
        <v>899</v>
      </c>
      <c r="B900" s="3" t="s">
        <v>1270</v>
      </c>
      <c r="C900" s="2" t="s">
        <v>1296</v>
      </c>
      <c r="D900" s="2" t="s">
        <v>43</v>
      </c>
      <c r="E900" s="2" t="s">
        <v>1295</v>
      </c>
      <c r="F900" s="2" t="s">
        <v>13</v>
      </c>
      <c r="G900" s="2" t="s">
        <v>21</v>
      </c>
      <c r="H900" s="4" t="str">
        <f>HYPERLINK("https://www.jfdaily.com/staticsg/res/html/web/newsDetail.html?id=935191","https://www.jfdaily.com/staticsg/res/html/web/newsDetail.html?id=935191")</f>
        <v>https://www.jfdaily.com/staticsg/res/html/web/newsDetail.html?id=935191</v>
      </c>
      <c r="I900" s="3" t="s">
        <v>1289</v>
      </c>
      <c r="J900" t="s">
        <v>16</v>
      </c>
    </row>
    <row r="901" ht="23" customHeight="1" spans="1:10">
      <c r="A901" s="2">
        <v>900</v>
      </c>
      <c r="B901" s="3" t="s">
        <v>1270</v>
      </c>
      <c r="C901" s="2" t="s">
        <v>1296</v>
      </c>
      <c r="D901" s="2" t="s">
        <v>40</v>
      </c>
      <c r="E901" s="2" t="s">
        <v>32</v>
      </c>
      <c r="F901" s="2" t="s">
        <v>13</v>
      </c>
      <c r="G901" s="2" t="s">
        <v>21</v>
      </c>
      <c r="H901" s="4" t="str">
        <f>HYPERLINK("https://www.yoojia.com/article/9905914572965572486.html","https://www.yoojia.com/article/9905914572965572486.html")</f>
        <v>https://www.yoojia.com/article/9905914572965572486.html</v>
      </c>
      <c r="I901" s="3" t="s">
        <v>1289</v>
      </c>
      <c r="J901" t="s">
        <v>16</v>
      </c>
    </row>
    <row r="902" ht="23" customHeight="1" spans="1:10">
      <c r="A902" s="2">
        <v>901</v>
      </c>
      <c r="B902" s="3" t="s">
        <v>1270</v>
      </c>
      <c r="C902" s="2" t="s">
        <v>1296</v>
      </c>
      <c r="D902" s="2" t="s">
        <v>46</v>
      </c>
      <c r="E902" s="2" t="s">
        <v>32</v>
      </c>
      <c r="F902" s="2" t="s">
        <v>37</v>
      </c>
      <c r="G902" s="2" t="s">
        <v>21</v>
      </c>
      <c r="H902" s="4" t="str">
        <f>HYPERLINK("https://3g.k.sohu.com/t/n902064337?serialId=5ed1279cd46089e469d18faf7f59b65b&amp;showType=902064337","https://3g.k.sohu.com/t/n902064337?serialId=5ed1279cd46089e469d18faf7f59b65b&amp;showType=902064337")</f>
        <v>https://3g.k.sohu.com/t/n902064337?serialId=5ed1279cd46089e469d18faf7f59b65b&amp;showType=902064337</v>
      </c>
      <c r="I902" s="3" t="s">
        <v>1298</v>
      </c>
      <c r="J902" t="s">
        <v>16</v>
      </c>
    </row>
    <row r="903" ht="23" customHeight="1" spans="1:10">
      <c r="A903" s="2">
        <v>902</v>
      </c>
      <c r="B903" s="3" t="s">
        <v>1270</v>
      </c>
      <c r="C903" s="2" t="s">
        <v>1296</v>
      </c>
      <c r="D903" s="2" t="s">
        <v>40</v>
      </c>
      <c r="E903" s="2" t="s">
        <v>20</v>
      </c>
      <c r="F903" s="2" t="s">
        <v>13</v>
      </c>
      <c r="G903" s="2" t="s">
        <v>21</v>
      </c>
      <c r="H903" s="4" t="str">
        <f>HYPERLINK("https://www.yoojia.com/article/9700945934660067177.html","https://www.yoojia.com/article/9700945934660067177.html")</f>
        <v>https://www.yoojia.com/article/9700945934660067177.html</v>
      </c>
      <c r="I903" s="3" t="s">
        <v>1289</v>
      </c>
      <c r="J903" t="s">
        <v>16</v>
      </c>
    </row>
    <row r="904" ht="23" customHeight="1" spans="1:10">
      <c r="A904" s="2">
        <v>903</v>
      </c>
      <c r="B904" s="3" t="s">
        <v>1270</v>
      </c>
      <c r="C904" s="2" t="s">
        <v>1296</v>
      </c>
      <c r="D904" s="2" t="s">
        <v>41</v>
      </c>
      <c r="E904" s="2" t="s">
        <v>20</v>
      </c>
      <c r="F904" s="2" t="s">
        <v>13</v>
      </c>
      <c r="G904" s="2" t="s">
        <v>21</v>
      </c>
      <c r="H904" s="4" t="str">
        <f>HYPERLINK("https://mbd.baidu.com/newspage/data/landingshare?nid=news_9700945934660067177","https://mbd.baidu.com/newspage/data/landingshare?nid=news_9700945934660067177")</f>
        <v>https://mbd.baidu.com/newspage/data/landingshare?nid=news_9700945934660067177</v>
      </c>
      <c r="I904" s="3" t="s">
        <v>1289</v>
      </c>
      <c r="J904" t="s">
        <v>16</v>
      </c>
    </row>
    <row r="905" ht="23" customHeight="1" spans="1:10">
      <c r="A905" s="2">
        <v>904</v>
      </c>
      <c r="B905" s="3" t="s">
        <v>1270</v>
      </c>
      <c r="C905" s="2" t="s">
        <v>1296</v>
      </c>
      <c r="D905" s="2" t="s">
        <v>41</v>
      </c>
      <c r="E905" s="2" t="s">
        <v>32</v>
      </c>
      <c r="F905" s="2" t="s">
        <v>13</v>
      </c>
      <c r="G905" s="2" t="s">
        <v>21</v>
      </c>
      <c r="H905" s="4" t="str">
        <f>HYPERLINK("https://mbd.baidu.com/newspage/data/landingshare?nid=news_9905914572965572486","https://mbd.baidu.com/newspage/data/landingshare?nid=news_9905914572965572486")</f>
        <v>https://mbd.baidu.com/newspage/data/landingshare?nid=news_9905914572965572486</v>
      </c>
      <c r="I905" s="3" t="s">
        <v>1289</v>
      </c>
      <c r="J905" t="s">
        <v>16</v>
      </c>
    </row>
    <row r="906" ht="23" customHeight="1" spans="1:10">
      <c r="A906" s="2">
        <v>905</v>
      </c>
      <c r="B906" s="3" t="s">
        <v>1270</v>
      </c>
      <c r="C906" s="2" t="s">
        <v>1296</v>
      </c>
      <c r="D906" s="2" t="s">
        <v>43</v>
      </c>
      <c r="E906" s="2" t="s">
        <v>43</v>
      </c>
      <c r="F906" s="2" t="s">
        <v>37</v>
      </c>
      <c r="G906" s="2" t="s">
        <v>21</v>
      </c>
      <c r="H906" s="4" t="str">
        <f>HYPERLINK("https://export.shobserver.com/baijiahao/html/935191.html","https://export.shobserver.com/baijiahao/html/935191.html")</f>
        <v>https://export.shobserver.com/baijiahao/html/935191.html</v>
      </c>
      <c r="I906" s="3" t="s">
        <v>1289</v>
      </c>
      <c r="J906" t="s">
        <v>16</v>
      </c>
    </row>
    <row r="907" ht="23" customHeight="1" spans="1:10">
      <c r="A907" s="2">
        <v>906</v>
      </c>
      <c r="B907" s="3" t="s">
        <v>1299</v>
      </c>
      <c r="C907" s="2" t="s">
        <v>1300</v>
      </c>
      <c r="D907" s="2" t="s">
        <v>35</v>
      </c>
      <c r="E907" s="2" t="s">
        <v>98</v>
      </c>
      <c r="F907" s="2" t="s">
        <v>13</v>
      </c>
      <c r="G907" s="2" t="s">
        <v>14</v>
      </c>
      <c r="H907" s="4" t="str">
        <f>HYPERLINK("https://new.qq.com/rain/a/20250625A025LU00","https://new.qq.com/rain/a/20250625A025LU00")</f>
        <v>https://new.qq.com/rain/a/20250625A025LU00</v>
      </c>
      <c r="I907" s="3" t="s">
        <v>1301</v>
      </c>
      <c r="J907" t="s">
        <v>16</v>
      </c>
    </row>
    <row r="908" ht="23" customHeight="1" spans="1:10">
      <c r="A908" s="2">
        <v>907</v>
      </c>
      <c r="B908" s="3" t="s">
        <v>1299</v>
      </c>
      <c r="C908" s="2" t="s">
        <v>1302</v>
      </c>
      <c r="D908" s="2" t="s">
        <v>46</v>
      </c>
      <c r="E908" s="2" t="s">
        <v>98</v>
      </c>
      <c r="F908" s="2" t="s">
        <v>37</v>
      </c>
      <c r="G908" s="2" t="s">
        <v>14</v>
      </c>
      <c r="H908" s="4" t="str">
        <f>HYPERLINK("https://3g.k.sohu.com/t/n901977575?serialId=f00e6cc257ee36ab6435616c60fb3c22&amp;showType=901977575","https://3g.k.sohu.com/t/n901977575?serialId=f00e6cc257ee36ab6435616c60fb3c22&amp;showType=901977575")</f>
        <v>https://3g.k.sohu.com/t/n901977575?serialId=f00e6cc257ee36ab6435616c60fb3c22&amp;showType=901977575</v>
      </c>
      <c r="I908" s="3" t="s">
        <v>1301</v>
      </c>
      <c r="J908" t="s">
        <v>16</v>
      </c>
    </row>
    <row r="909" ht="23" customHeight="1" spans="1:10">
      <c r="A909" s="2">
        <v>908</v>
      </c>
      <c r="B909" s="3" t="s">
        <v>1299</v>
      </c>
      <c r="C909" s="2" t="s">
        <v>1303</v>
      </c>
      <c r="D909" s="2" t="s">
        <v>41</v>
      </c>
      <c r="E909" s="2" t="s">
        <v>98</v>
      </c>
      <c r="F909" s="2" t="s">
        <v>13</v>
      </c>
      <c r="G909" s="2" t="s">
        <v>14</v>
      </c>
      <c r="H909" s="4" t="str">
        <f>HYPERLINK("https://mbd.baidu.com/newspage/data/landingshare?nid=news_9159515815985776770","https://mbd.baidu.com/newspage/data/landingshare?nid=news_9159515815985776770")</f>
        <v>https://mbd.baidu.com/newspage/data/landingshare?nid=news_9159515815985776770</v>
      </c>
      <c r="I909" s="3" t="s">
        <v>1301</v>
      </c>
      <c r="J909" t="s">
        <v>16</v>
      </c>
    </row>
    <row r="910" ht="23" customHeight="1" spans="1:10">
      <c r="A910" s="2">
        <v>909</v>
      </c>
      <c r="B910" s="3" t="s">
        <v>1299</v>
      </c>
      <c r="C910" s="2" t="s">
        <v>1303</v>
      </c>
      <c r="D910" s="2" t="s">
        <v>40</v>
      </c>
      <c r="E910" s="2" t="s">
        <v>98</v>
      </c>
      <c r="F910" s="2" t="s">
        <v>13</v>
      </c>
      <c r="G910" s="2" t="s">
        <v>14</v>
      </c>
      <c r="H910" s="4" t="str">
        <f>HYPERLINK("https://www.yoojia.com/article/9159515815985776770.html","https://www.yoojia.com/article/9159515815985776770.html")</f>
        <v>https://www.yoojia.com/article/9159515815985776770.html</v>
      </c>
      <c r="I910" s="3" t="s">
        <v>1301</v>
      </c>
      <c r="J910" t="s">
        <v>16</v>
      </c>
    </row>
    <row r="911" ht="23" customHeight="1" spans="1:10">
      <c r="A911" s="2">
        <v>910</v>
      </c>
      <c r="B911" s="3" t="s">
        <v>1304</v>
      </c>
      <c r="C911" s="2" t="s">
        <v>1305</v>
      </c>
      <c r="D911" s="2" t="s">
        <v>91</v>
      </c>
      <c r="E911" s="2" t="s">
        <v>1306</v>
      </c>
      <c r="F911" s="2" t="s">
        <v>91</v>
      </c>
      <c r="G911" s="2" t="s">
        <v>21</v>
      </c>
      <c r="H911" s="4" t="str">
        <f>HYPERLINK("http://mp.weixin.qq.com/s?__biz=ODUzMjkwMzYx&amp;mid=2655175404&amp;idx=3&amp;sn=9a2da90ec1b4d5aca9676ddb9421e79f","http://mp.weixin.qq.com/s?__biz=ODUzMjkwMzYx&amp;mid=2655175404&amp;idx=3&amp;sn=9a2da90ec1b4d5aca9676ddb9421e79f")</f>
        <v>http://mp.weixin.qq.com/s?__biz=ODUzMjkwMzYx&amp;mid=2655175404&amp;idx=3&amp;sn=9a2da90ec1b4d5aca9676ddb9421e79f</v>
      </c>
      <c r="I911" s="3" t="s">
        <v>1307</v>
      </c>
      <c r="J911" t="s">
        <v>16</v>
      </c>
    </row>
    <row r="912" ht="23" customHeight="1" spans="1:10">
      <c r="A912" s="2">
        <v>911</v>
      </c>
      <c r="B912" s="3" t="s">
        <v>1304</v>
      </c>
      <c r="C912" s="2" t="s">
        <v>1308</v>
      </c>
      <c r="D912" s="2" t="s">
        <v>46</v>
      </c>
      <c r="E912" s="2" t="s">
        <v>1309</v>
      </c>
      <c r="F912" s="2" t="s">
        <v>37</v>
      </c>
      <c r="G912" s="2" t="s">
        <v>21</v>
      </c>
      <c r="H912" s="4" t="str">
        <f>HYPERLINK("https://3g.k.sohu.com/t/n902105604?serialId=dfae1c58e270c0323014f97037d40c14&amp;showType=902105604","https://3g.k.sohu.com/t/n902105604?serialId=dfae1c58e270c0323014f97037d40c14&amp;showType=902105604")</f>
        <v>https://3g.k.sohu.com/t/n902105604?serialId=dfae1c58e270c0323014f97037d40c14&amp;showType=902105604</v>
      </c>
      <c r="I912" s="3" t="s">
        <v>1307</v>
      </c>
      <c r="J912" t="s">
        <v>16</v>
      </c>
    </row>
    <row r="913" ht="23" customHeight="1" spans="1:10">
      <c r="A913" s="2">
        <v>912</v>
      </c>
      <c r="B913" s="3" t="s">
        <v>1310</v>
      </c>
      <c r="C913" s="2" t="s">
        <v>1311</v>
      </c>
      <c r="D913" s="2" t="s">
        <v>1312</v>
      </c>
      <c r="E913" s="2" t="s">
        <v>1312</v>
      </c>
      <c r="F913" s="2" t="s">
        <v>13</v>
      </c>
      <c r="G913" s="2" t="s">
        <v>14</v>
      </c>
      <c r="H913" s="4" t="str">
        <f>HYPERLINK("https://www.cast.org.cn/xw/tzgg/XCWH/art/2025/art_fd0b4f78d4cc425fa6bd5bd6d7996e0b.html","https://www.cast.org.cn/xw/tzgg/XCWH/art/2025/art_fd0b4f78d4cc425fa6bd5bd6d7996e0b.html")</f>
        <v>https://www.cast.org.cn/xw/tzgg/XCWH/art/2025/art_fd0b4f78d4cc425fa6bd5bd6d7996e0b.html</v>
      </c>
      <c r="I913" s="3" t="s">
        <v>1313</v>
      </c>
      <c r="J913" t="s">
        <v>16</v>
      </c>
    </row>
    <row r="914" ht="23" customHeight="1" spans="1:10">
      <c r="A914" s="2">
        <v>913</v>
      </c>
      <c r="B914" s="3" t="s">
        <v>1314</v>
      </c>
      <c r="C914" s="2" t="s">
        <v>1315</v>
      </c>
      <c r="D914" s="2" t="s">
        <v>40</v>
      </c>
      <c r="E914" s="2" t="s">
        <v>20</v>
      </c>
      <c r="F914" s="2" t="s">
        <v>13</v>
      </c>
      <c r="G914" s="2" t="s">
        <v>21</v>
      </c>
      <c r="H914" s="4" t="str">
        <f>HYPERLINK("https://www.yoojia.com/article/9654956889429245549.html","https://www.yoojia.com/article/9654956889429245549.html")</f>
        <v>https://www.yoojia.com/article/9654956889429245549.html</v>
      </c>
      <c r="I914" s="3" t="s">
        <v>1316</v>
      </c>
      <c r="J914" t="s">
        <v>16</v>
      </c>
    </row>
    <row r="915" ht="23" customHeight="1" spans="1:10">
      <c r="A915" s="2">
        <v>914</v>
      </c>
      <c r="B915" s="3" t="s">
        <v>1314</v>
      </c>
      <c r="C915" s="2" t="s">
        <v>1315</v>
      </c>
      <c r="D915" s="2" t="s">
        <v>41</v>
      </c>
      <c r="E915" s="2" t="s">
        <v>20</v>
      </c>
      <c r="F915" s="2" t="s">
        <v>13</v>
      </c>
      <c r="G915" s="2" t="s">
        <v>21</v>
      </c>
      <c r="H915" s="4" t="str">
        <f>HYPERLINK("https://mbd.baidu.com/newspage/data/landingshare?nid=news_9654956889429245549","https://mbd.baidu.com/newspage/data/landingshare?nid=news_9654956889429245549")</f>
        <v>https://mbd.baidu.com/newspage/data/landingshare?nid=news_9654956889429245549</v>
      </c>
      <c r="I915" s="3" t="s">
        <v>1316</v>
      </c>
      <c r="J915" t="s">
        <v>16</v>
      </c>
    </row>
    <row r="916" ht="23" customHeight="1" spans="1:10">
      <c r="A916" s="2">
        <v>915</v>
      </c>
      <c r="B916" s="3" t="s">
        <v>1314</v>
      </c>
      <c r="C916" s="2" t="s">
        <v>1317</v>
      </c>
      <c r="D916" s="2" t="s">
        <v>20</v>
      </c>
      <c r="E916" s="2" t="s">
        <v>1242</v>
      </c>
      <c r="F916" s="2" t="s">
        <v>37</v>
      </c>
      <c r="G916" s="2" t="s">
        <v>21</v>
      </c>
      <c r="H916" s="4" t="str">
        <f>HYPERLINK("https://sghservices.shobserver.com/share/detail.html?id=1599396","https://sghservices.shobserver.com/share/detail.html?id=1599396")</f>
        <v>https://sghservices.shobserver.com/share/detail.html?id=1599396</v>
      </c>
      <c r="I916" s="3" t="s">
        <v>1318</v>
      </c>
      <c r="J916" t="s">
        <v>16</v>
      </c>
    </row>
    <row r="917" ht="23" customHeight="1" spans="1:10">
      <c r="A917" s="2">
        <v>916</v>
      </c>
      <c r="B917" s="3" t="s">
        <v>1319</v>
      </c>
      <c r="C917" s="2" t="s">
        <v>1320</v>
      </c>
      <c r="D917" s="2" t="s">
        <v>91</v>
      </c>
      <c r="E917" s="2" t="s">
        <v>1321</v>
      </c>
      <c r="F917" s="2" t="s">
        <v>91</v>
      </c>
      <c r="G917" s="2" t="s">
        <v>83</v>
      </c>
      <c r="H917" s="4" t="str">
        <f>HYPERLINK("http://mp.weixin.qq.com/s?__biz=MzA5NTE4NDIyMw==&amp;mid=2655303461&amp;idx=3&amp;sn=97c39aa09dc701157a66d28a2d32e36a","http://mp.weixin.qq.com/s?__biz=MzA5NTE4NDIyMw==&amp;mid=2655303461&amp;idx=3&amp;sn=97c39aa09dc701157a66d28a2d32e36a")</f>
        <v>http://mp.weixin.qq.com/s?__biz=MzA5NTE4NDIyMw==&amp;mid=2655303461&amp;idx=3&amp;sn=97c39aa09dc701157a66d28a2d32e36a</v>
      </c>
      <c r="I917" s="3" t="s">
        <v>1322</v>
      </c>
      <c r="J917" t="s">
        <v>16</v>
      </c>
    </row>
    <row r="918" ht="23" customHeight="1" spans="1:10">
      <c r="A918" s="2">
        <v>917</v>
      </c>
      <c r="B918" s="3" t="s">
        <v>1323</v>
      </c>
      <c r="C918" s="2" t="s">
        <v>1324</v>
      </c>
      <c r="D918" s="2" t="s">
        <v>46</v>
      </c>
      <c r="E918" s="2" t="s">
        <v>618</v>
      </c>
      <c r="F918" s="2" t="s">
        <v>37</v>
      </c>
      <c r="G918" s="2" t="s">
        <v>26</v>
      </c>
      <c r="H918" s="4" t="str">
        <f>HYPERLINK("https://3g.k.sohu.com/t/n901297088?serialId=6f8bb9039c3c4d284d8ce9b1cc6a2881&amp;showType=901297088","https://3g.k.sohu.com/t/n901297088?serialId=6f8bb9039c3c4d284d8ce9b1cc6a2881&amp;showType=901297088")</f>
        <v>https://3g.k.sohu.com/t/n901297088?serialId=6f8bb9039c3c4d284d8ce9b1cc6a2881&amp;showType=901297088</v>
      </c>
      <c r="I918" s="3" t="s">
        <v>1325</v>
      </c>
      <c r="J918" t="s">
        <v>16</v>
      </c>
    </row>
    <row r="919" ht="23" customHeight="1" spans="1:10">
      <c r="A919" s="2">
        <v>918</v>
      </c>
      <c r="B919" s="3" t="s">
        <v>1326</v>
      </c>
      <c r="C919" s="2" t="s">
        <v>1327</v>
      </c>
      <c r="D919" s="2" t="s">
        <v>41</v>
      </c>
      <c r="E919" s="2" t="s">
        <v>126</v>
      </c>
      <c r="F919" s="2" t="s">
        <v>13</v>
      </c>
      <c r="G919" s="2" t="s">
        <v>21</v>
      </c>
      <c r="H919" s="4" t="str">
        <f>HYPERLINK("https://mbd.baidu.com/newspage/data/landingshare?nid=news_9181879848043480186","https://mbd.baidu.com/newspage/data/landingshare?nid=news_9181879848043480186")</f>
        <v>https://mbd.baidu.com/newspage/data/landingshare?nid=news_9181879848043480186</v>
      </c>
      <c r="I919" s="3" t="s">
        <v>1328</v>
      </c>
      <c r="J919" t="s">
        <v>16</v>
      </c>
    </row>
    <row r="920" ht="23" customHeight="1" spans="1:10">
      <c r="A920" s="2">
        <v>919</v>
      </c>
      <c r="B920" s="3" t="s">
        <v>1326</v>
      </c>
      <c r="C920" s="2" t="s">
        <v>1327</v>
      </c>
      <c r="D920" s="2" t="s">
        <v>40</v>
      </c>
      <c r="E920" s="2" t="s">
        <v>126</v>
      </c>
      <c r="F920" s="2" t="s">
        <v>13</v>
      </c>
      <c r="G920" s="2" t="s">
        <v>21</v>
      </c>
      <c r="H920" s="4" t="str">
        <f>HYPERLINK("https://www.yoojia.com/article/9181879848043480186.html","https://www.yoojia.com/article/9181879848043480186.html")</f>
        <v>https://www.yoojia.com/article/9181879848043480186.html</v>
      </c>
      <c r="I920" s="3" t="s">
        <v>1328</v>
      </c>
      <c r="J920" t="s">
        <v>16</v>
      </c>
    </row>
    <row r="921" ht="23" customHeight="1" spans="1:10">
      <c r="A921" s="2">
        <v>920</v>
      </c>
      <c r="B921" s="3" t="s">
        <v>1329</v>
      </c>
      <c r="C921" s="2" t="s">
        <v>1330</v>
      </c>
      <c r="D921" s="2" t="s">
        <v>681</v>
      </c>
      <c r="E921" s="2" t="s">
        <v>681</v>
      </c>
      <c r="F921" s="2" t="s">
        <v>37</v>
      </c>
      <c r="G921" s="2" t="s">
        <v>83</v>
      </c>
      <c r="H921" s="4" t="str">
        <f>HYPERLINK("https://jg-mvvm.eeo.com.cn/article/info?id=c83e1eb157d555985a9e6329979378ac","https://jg-mvvm.eeo.com.cn/article/info?id=c83e1eb157d555985a9e6329979378ac")</f>
        <v>https://jg-mvvm.eeo.com.cn/article/info?id=c83e1eb157d555985a9e6329979378ac</v>
      </c>
      <c r="I921" s="3" t="s">
        <v>1331</v>
      </c>
      <c r="J921" t="s">
        <v>16</v>
      </c>
    </row>
    <row r="922" ht="23" customHeight="1" spans="1:10">
      <c r="A922" s="2">
        <v>921</v>
      </c>
      <c r="B922" s="3" t="s">
        <v>1329</v>
      </c>
      <c r="C922" s="2" t="s">
        <v>1332</v>
      </c>
      <c r="D922" s="2" t="s">
        <v>35</v>
      </c>
      <c r="E922" s="2" t="s">
        <v>1333</v>
      </c>
      <c r="F922" s="2" t="s">
        <v>13</v>
      </c>
      <c r="G922" s="2" t="s">
        <v>14</v>
      </c>
      <c r="H922" s="4" t="str">
        <f>HYPERLINK("https://new.qq.com/rain/a/20250620A07Z9900","https://new.qq.com/rain/a/20250620A07Z9900")</f>
        <v>https://new.qq.com/rain/a/20250620A07Z9900</v>
      </c>
      <c r="I922" s="3" t="s">
        <v>1334</v>
      </c>
      <c r="J922" t="s">
        <v>16</v>
      </c>
    </row>
    <row r="923" ht="23" customHeight="1" spans="1:10">
      <c r="A923" s="2">
        <v>922</v>
      </c>
      <c r="B923" s="3" t="s">
        <v>1329</v>
      </c>
      <c r="C923" s="2" t="s">
        <v>1332</v>
      </c>
      <c r="D923" s="2" t="s">
        <v>34</v>
      </c>
      <c r="E923" s="2" t="s">
        <v>1333</v>
      </c>
      <c r="F923" s="2" t="s">
        <v>13</v>
      </c>
      <c r="G923" s="2" t="s">
        <v>14</v>
      </c>
      <c r="H923" s="4" t="str">
        <f>HYPERLINK("https://kandianshare.html5.qq.com/v2/news/5236853651044956482","https://kandianshare.html5.qq.com/v2/news/5236853651044956482")</f>
        <v>https://kandianshare.html5.qq.com/v2/news/5236853651044956482</v>
      </c>
      <c r="I923" s="3" t="s">
        <v>1331</v>
      </c>
      <c r="J923" t="s">
        <v>16</v>
      </c>
    </row>
    <row r="924" ht="23" customHeight="1" spans="1:10">
      <c r="A924" s="2">
        <v>923</v>
      </c>
      <c r="B924" s="3" t="s">
        <v>1329</v>
      </c>
      <c r="C924" s="2" t="s">
        <v>1335</v>
      </c>
      <c r="D924" s="2" t="s">
        <v>19</v>
      </c>
      <c r="E924" s="2" t="s">
        <v>1333</v>
      </c>
      <c r="F924" s="2" t="s">
        <v>37</v>
      </c>
      <c r="G924" s="2" t="s">
        <v>14</v>
      </c>
      <c r="H924" s="4" t="str">
        <f>HYPERLINK("https://c.m.163.com/news/a/K2H0TFIP0519C6T9.html","https://c.m.163.com/news/a/K2H0TFIP0519C6T9.html")</f>
        <v>https://c.m.163.com/news/a/K2H0TFIP0519C6T9.html</v>
      </c>
      <c r="I924" s="3" t="s">
        <v>1336</v>
      </c>
      <c r="J924" t="s">
        <v>16</v>
      </c>
    </row>
    <row r="925" ht="23" customHeight="1" spans="1:10">
      <c r="A925" s="2">
        <v>924</v>
      </c>
      <c r="B925" s="3" t="s">
        <v>1329</v>
      </c>
      <c r="C925" s="2" t="s">
        <v>1337</v>
      </c>
      <c r="D925" s="2" t="s">
        <v>11</v>
      </c>
      <c r="E925" s="2" t="s">
        <v>1333</v>
      </c>
      <c r="F925" s="2" t="s">
        <v>13</v>
      </c>
      <c r="G925" s="2" t="s">
        <v>14</v>
      </c>
      <c r="H925" s="4" t="str">
        <f>HYPERLINK("https://www.toutiao.com/article/7517969068025168395/","https://www.toutiao.com/article/7517969068025168395/")</f>
        <v>https://www.toutiao.com/article/7517969068025168395/</v>
      </c>
      <c r="I925" s="3" t="s">
        <v>1331</v>
      </c>
      <c r="J925" t="s">
        <v>16</v>
      </c>
    </row>
    <row r="926" ht="23" customHeight="1" spans="1:10">
      <c r="A926" s="2">
        <v>925</v>
      </c>
      <c r="B926" s="3" t="s">
        <v>1329</v>
      </c>
      <c r="C926" s="2" t="s">
        <v>1338</v>
      </c>
      <c r="D926" s="2" t="s">
        <v>1333</v>
      </c>
      <c r="E926" s="2" t="s">
        <v>1333</v>
      </c>
      <c r="F926" s="2" t="s">
        <v>37</v>
      </c>
      <c r="G926" s="2" t="s">
        <v>14</v>
      </c>
      <c r="H926" s="4" t="str">
        <f>HYPERLINK("https://jw.jwview.com/jwview/content.jsp?id=624784","https://jw.jwview.com/jwview/content.jsp?id=624784")</f>
        <v>https://jw.jwview.com/jwview/content.jsp?id=624784</v>
      </c>
      <c r="I926" s="3" t="s">
        <v>1331</v>
      </c>
      <c r="J926" t="s">
        <v>16</v>
      </c>
    </row>
    <row r="927" ht="23" customHeight="1" spans="1:10">
      <c r="A927" s="2">
        <v>926</v>
      </c>
      <c r="B927" s="3" t="s">
        <v>1329</v>
      </c>
      <c r="C927" s="2" t="s">
        <v>1338</v>
      </c>
      <c r="D927" s="2" t="s">
        <v>1333</v>
      </c>
      <c r="E927" s="2" t="s">
        <v>1333</v>
      </c>
      <c r="F927" s="2" t="s">
        <v>13</v>
      </c>
      <c r="G927" s="2" t="s">
        <v>14</v>
      </c>
      <c r="H927" s="4" t="str">
        <f>HYPERLINK("http://www.jwview.com/jingwei/html/06-20/624784.shtml","http://www.jwview.com/jingwei/html/06-20/624784.shtml")</f>
        <v>http://www.jwview.com/jingwei/html/06-20/624784.shtml</v>
      </c>
      <c r="I927" s="3" t="s">
        <v>1334</v>
      </c>
      <c r="J927" t="s">
        <v>16</v>
      </c>
    </row>
    <row r="928" ht="23" customHeight="1" spans="1:10">
      <c r="A928" s="2">
        <v>927</v>
      </c>
      <c r="B928" s="3" t="s">
        <v>1329</v>
      </c>
      <c r="C928" s="2" t="s">
        <v>1338</v>
      </c>
      <c r="D928" s="2" t="s">
        <v>379</v>
      </c>
      <c r="E928" s="2" t="s">
        <v>1333</v>
      </c>
      <c r="F928" s="2" t="s">
        <v>13</v>
      </c>
      <c r="G928" s="2" t="s">
        <v>14</v>
      </c>
      <c r="H928" s="4" t="str">
        <f>HYPERLINK("http://www.yidianzixun.com/article/11jBMsgY","http://www.yidianzixun.com/article/11jBMsgY")</f>
        <v>http://www.yidianzixun.com/article/11jBMsgY</v>
      </c>
      <c r="I928" s="3" t="s">
        <v>1331</v>
      </c>
      <c r="J928" t="s">
        <v>16</v>
      </c>
    </row>
    <row r="929" ht="23" customHeight="1" spans="1:10">
      <c r="A929" s="2">
        <v>928</v>
      </c>
      <c r="B929" s="3" t="s">
        <v>1329</v>
      </c>
      <c r="C929" s="2" t="s">
        <v>1338</v>
      </c>
      <c r="D929" s="2" t="s">
        <v>1333</v>
      </c>
      <c r="E929" s="2" t="s">
        <v>1333</v>
      </c>
      <c r="F929" s="2" t="s">
        <v>13</v>
      </c>
      <c r="G929" s="2" t="s">
        <v>14</v>
      </c>
      <c r="H929" s="4" t="str">
        <f>HYPERLINK("https://www.jwview.com/jingwei/html/06-20/624784.shtml","https://www.jwview.com/jingwei/html/06-20/624784.shtml")</f>
        <v>https://www.jwview.com/jingwei/html/06-20/624784.shtml</v>
      </c>
      <c r="I929" s="3" t="s">
        <v>1334</v>
      </c>
      <c r="J929" t="s">
        <v>16</v>
      </c>
    </row>
    <row r="930" ht="23" customHeight="1" spans="1:10">
      <c r="A930" s="2">
        <v>929</v>
      </c>
      <c r="B930" s="3" t="s">
        <v>1329</v>
      </c>
      <c r="C930" s="2" t="s">
        <v>1338</v>
      </c>
      <c r="D930" s="2" t="s">
        <v>29</v>
      </c>
      <c r="E930" s="2" t="s">
        <v>1333</v>
      </c>
      <c r="F930" s="2" t="s">
        <v>13</v>
      </c>
      <c r="G930" s="2" t="s">
        <v>14</v>
      </c>
      <c r="H930" s="4" t="str">
        <f>HYPERLINK("https://finance.sina.cn/2025-06-20/detail-infatmam2768690.d.html","https://finance.sina.cn/2025-06-20/detail-infatmam2768690.d.html")</f>
        <v>https://finance.sina.cn/2025-06-20/detail-infatmam2768690.d.html</v>
      </c>
      <c r="I930" s="3" t="s">
        <v>1331</v>
      </c>
      <c r="J930" t="s">
        <v>16</v>
      </c>
    </row>
    <row r="931" ht="23" customHeight="1" spans="1:10">
      <c r="A931" s="2">
        <v>930</v>
      </c>
      <c r="B931" s="3" t="s">
        <v>1329</v>
      </c>
      <c r="C931" s="2" t="s">
        <v>1338</v>
      </c>
      <c r="D931" s="2" t="s">
        <v>107</v>
      </c>
      <c r="E931" s="2" t="s">
        <v>1333</v>
      </c>
      <c r="F931" s="2" t="s">
        <v>13</v>
      </c>
      <c r="G931" s="2" t="s">
        <v>14</v>
      </c>
      <c r="H931" s="4" t="str">
        <f>HYPERLINK("https://k.sina.cn/article_5993531560_1653e08a802001hgii.html","https://k.sina.cn/article_5993531560_1653e08a802001hgii.html")</f>
        <v>https://k.sina.cn/article_5993531560_1653e08a802001hgii.html</v>
      </c>
      <c r="I931" s="3" t="s">
        <v>1334</v>
      </c>
      <c r="J931" t="s">
        <v>16</v>
      </c>
    </row>
    <row r="932" ht="23" customHeight="1" spans="1:10">
      <c r="A932" s="2">
        <v>931</v>
      </c>
      <c r="B932" s="3" t="s">
        <v>1329</v>
      </c>
      <c r="C932" s="2" t="s">
        <v>1339</v>
      </c>
      <c r="D932" s="2" t="s">
        <v>41</v>
      </c>
      <c r="E932" s="2" t="s">
        <v>1333</v>
      </c>
      <c r="F932" s="2" t="s">
        <v>13</v>
      </c>
      <c r="G932" s="2" t="s">
        <v>14</v>
      </c>
      <c r="H932" s="4" t="str">
        <f>HYPERLINK("https://mbd.baidu.com/newspage/data/landingshare?nid=news_8882157088582530799","https://mbd.baidu.com/newspage/data/landingshare?nid=news_8882157088582530799")</f>
        <v>https://mbd.baidu.com/newspage/data/landingshare?nid=news_8882157088582530799</v>
      </c>
      <c r="I932" s="3" t="s">
        <v>1331</v>
      </c>
      <c r="J932" t="s">
        <v>16</v>
      </c>
    </row>
    <row r="933" ht="23" customHeight="1" spans="1:10">
      <c r="A933" s="2">
        <v>932</v>
      </c>
      <c r="B933" s="3" t="s">
        <v>1329</v>
      </c>
      <c r="C933" s="2" t="s">
        <v>1339</v>
      </c>
      <c r="D933" s="2" t="s">
        <v>40</v>
      </c>
      <c r="E933" s="2" t="s">
        <v>1333</v>
      </c>
      <c r="F933" s="2" t="s">
        <v>13</v>
      </c>
      <c r="G933" s="2" t="s">
        <v>14</v>
      </c>
      <c r="H933" s="4" t="str">
        <f>HYPERLINK("https://www.yoojia.com/article/8882157088582530799.html","https://www.yoojia.com/article/8882157088582530799.html")</f>
        <v>https://www.yoojia.com/article/8882157088582530799.html</v>
      </c>
      <c r="I933" s="3" t="s">
        <v>1331</v>
      </c>
      <c r="J933" t="s">
        <v>16</v>
      </c>
    </row>
    <row r="934" ht="23" customHeight="1" spans="1:10">
      <c r="A934" s="2">
        <v>933</v>
      </c>
      <c r="B934" s="3" t="s">
        <v>1340</v>
      </c>
      <c r="C934" s="2" t="s">
        <v>1341</v>
      </c>
      <c r="D934" s="2" t="s">
        <v>334</v>
      </c>
      <c r="E934" s="2" t="s">
        <v>334</v>
      </c>
      <c r="F934" s="2" t="s">
        <v>37</v>
      </c>
      <c r="G934" s="2" t="s">
        <v>26</v>
      </c>
      <c r="H934" s="4" t="str">
        <f>HYPERLINK("https://j.021east.com/m/1750396428047098","https://j.021east.com/m/1750396428047098")</f>
        <v>https://j.021east.com/m/1750396428047098</v>
      </c>
      <c r="I934" s="3" t="s">
        <v>1342</v>
      </c>
      <c r="J934" t="s">
        <v>16</v>
      </c>
    </row>
    <row r="935" ht="23" customHeight="1" spans="1:10">
      <c r="A935" s="2">
        <v>934</v>
      </c>
      <c r="B935" s="3" t="s">
        <v>1340</v>
      </c>
      <c r="C935" s="2" t="s">
        <v>1343</v>
      </c>
      <c r="D935" s="2" t="s">
        <v>40</v>
      </c>
      <c r="E935" s="2" t="s">
        <v>20</v>
      </c>
      <c r="F935" s="2" t="s">
        <v>13</v>
      </c>
      <c r="G935" s="2" t="s">
        <v>21</v>
      </c>
      <c r="H935" s="4" t="str">
        <f>HYPERLINK("https://www.yoojia.com/article/9553036327532586332.html","https://www.yoojia.com/article/9553036327532586332.html")</f>
        <v>https://www.yoojia.com/article/9553036327532586332.html</v>
      </c>
      <c r="I935" s="3" t="s">
        <v>1344</v>
      </c>
      <c r="J935" t="s">
        <v>16</v>
      </c>
    </row>
    <row r="936" ht="23" customHeight="1" spans="1:10">
      <c r="A936" s="2">
        <v>935</v>
      </c>
      <c r="B936" s="3" t="s">
        <v>1340</v>
      </c>
      <c r="C936" s="2" t="s">
        <v>1343</v>
      </c>
      <c r="D936" s="2" t="s">
        <v>41</v>
      </c>
      <c r="E936" s="2" t="s">
        <v>20</v>
      </c>
      <c r="F936" s="2" t="s">
        <v>13</v>
      </c>
      <c r="G936" s="2" t="s">
        <v>21</v>
      </c>
      <c r="H936" s="4" t="str">
        <f>HYPERLINK("https://baijiahao.baidu.com/s?id=1835368222675772461","https://baijiahao.baidu.com/s?id=1835368222675772461")</f>
        <v>https://baijiahao.baidu.com/s?id=1835368222675772461</v>
      </c>
      <c r="I936" s="3" t="s">
        <v>1344</v>
      </c>
      <c r="J936" t="s">
        <v>16</v>
      </c>
    </row>
    <row r="937" ht="23" customHeight="1" spans="1:10">
      <c r="A937" s="2">
        <v>936</v>
      </c>
      <c r="B937" s="3" t="s">
        <v>1345</v>
      </c>
      <c r="C937" s="2" t="s">
        <v>1346</v>
      </c>
      <c r="D937" s="2" t="s">
        <v>428</v>
      </c>
      <c r="E937" s="2" t="s">
        <v>428</v>
      </c>
      <c r="F937" s="2" t="s">
        <v>13</v>
      </c>
      <c r="G937" s="2" t="s">
        <v>14</v>
      </c>
      <c r="H937" s="4" t="str">
        <f>HYPERLINK("https://article.xuexi.cn/articles/index.html?art_id=13168940541005363395","https://article.xuexi.cn/articles/index.html?art_id=13168940541005363395")</f>
        <v>https://article.xuexi.cn/articles/index.html?art_id=13168940541005363395</v>
      </c>
      <c r="I937" s="3" t="s">
        <v>1347</v>
      </c>
      <c r="J937" t="s">
        <v>16</v>
      </c>
    </row>
    <row r="938" ht="23" customHeight="1" spans="1:10">
      <c r="A938" s="2">
        <v>937</v>
      </c>
      <c r="B938" s="3" t="s">
        <v>1348</v>
      </c>
      <c r="C938" s="2" t="s">
        <v>1349</v>
      </c>
      <c r="D938" s="2" t="s">
        <v>46</v>
      </c>
      <c r="E938" s="2" t="s">
        <v>1350</v>
      </c>
      <c r="F938" s="2" t="s">
        <v>37</v>
      </c>
      <c r="G938" s="2" t="s">
        <v>26</v>
      </c>
      <c r="H938" s="4" t="str">
        <f>HYPERLINK("https://3g.k.sohu.com/t/n900117948?serialId=e095fe36029f5d2254f1860806bbc34e&amp;showType=900117948","https://3g.k.sohu.com/t/n900117948?serialId=e095fe36029f5d2254f1860806bbc34e&amp;showType=900117948")</f>
        <v>https://3g.k.sohu.com/t/n900117948?serialId=e095fe36029f5d2254f1860806bbc34e&amp;showType=900117948</v>
      </c>
      <c r="I938" s="3" t="s">
        <v>1351</v>
      </c>
      <c r="J938" t="s">
        <v>16</v>
      </c>
    </row>
    <row r="939" ht="23" customHeight="1" spans="1:10">
      <c r="A939" s="2">
        <v>938</v>
      </c>
      <c r="B939" s="3" t="s">
        <v>1352</v>
      </c>
      <c r="C939" s="2" t="s">
        <v>1353</v>
      </c>
      <c r="D939" s="2" t="s">
        <v>544</v>
      </c>
      <c r="E939" s="2" t="s">
        <v>544</v>
      </c>
      <c r="F939" s="2" t="s">
        <v>37</v>
      </c>
      <c r="G939" s="2" t="s">
        <v>14</v>
      </c>
      <c r="H939" s="4" t="str">
        <f>HYPERLINK("https://share.app3.jyb.cn/news_d/e009b2a24cc51c54184d7d60879c2dd1","https://share.app3.jyb.cn/news_d/e009b2a24cc51c54184d7d60879c2dd1")</f>
        <v>https://share.app3.jyb.cn/news_d/e009b2a24cc51c54184d7d60879c2dd1</v>
      </c>
      <c r="I939" s="3" t="s">
        <v>1354</v>
      </c>
      <c r="J939" t="s">
        <v>16</v>
      </c>
    </row>
    <row r="940" ht="23" customHeight="1" spans="1:10">
      <c r="A940" s="2">
        <v>939</v>
      </c>
      <c r="B940" s="3" t="s">
        <v>1355</v>
      </c>
      <c r="C940" s="2" t="s">
        <v>1356</v>
      </c>
      <c r="D940" s="2" t="s">
        <v>1357</v>
      </c>
      <c r="E940" s="2" t="s">
        <v>1357</v>
      </c>
      <c r="F940" s="2" t="s">
        <v>13</v>
      </c>
      <c r="G940" s="2" t="s">
        <v>26</v>
      </c>
      <c r="H940" s="4" t="str">
        <f>HYPERLINK("http://www.zzsz.net.cn/news/202506/107071.html","http://www.zzsz.net.cn/news/202506/107071.html")</f>
        <v>http://www.zzsz.net.cn/news/202506/107071.html</v>
      </c>
      <c r="I940" s="3" t="s">
        <v>1358</v>
      </c>
      <c r="J940" t="s">
        <v>16</v>
      </c>
    </row>
    <row r="941" ht="23" customHeight="1" spans="1:10">
      <c r="A941" s="2">
        <v>940</v>
      </c>
      <c r="B941" s="3" t="s">
        <v>1355</v>
      </c>
      <c r="C941" s="2" t="s">
        <v>1359</v>
      </c>
      <c r="D941" s="2" t="s">
        <v>1360</v>
      </c>
      <c r="E941" s="2" t="s">
        <v>1360</v>
      </c>
      <c r="F941" s="2" t="s">
        <v>13</v>
      </c>
      <c r="G941" s="2" t="s">
        <v>26</v>
      </c>
      <c r="H941" s="4" t="str">
        <f>HYPERLINK("http://www.twwtn.com/afinance/202506/80536.html","http://www.twwtn.com/afinance/202506/80536.html")</f>
        <v>http://www.twwtn.com/afinance/202506/80536.html</v>
      </c>
      <c r="I941" s="3" t="s">
        <v>1358</v>
      </c>
      <c r="J941" t="s">
        <v>16</v>
      </c>
    </row>
    <row r="942" ht="23" customHeight="1" spans="1:10">
      <c r="A942" s="2">
        <v>941</v>
      </c>
      <c r="B942" s="3" t="s">
        <v>1361</v>
      </c>
      <c r="C942" s="2" t="s">
        <v>1362</v>
      </c>
      <c r="D942" s="2" t="s">
        <v>262</v>
      </c>
      <c r="E942" s="2" t="s">
        <v>262</v>
      </c>
      <c r="F942" s="2" t="s">
        <v>13</v>
      </c>
      <c r="G942" s="2" t="s">
        <v>21</v>
      </c>
      <c r="H942" s="4" t="str">
        <f>HYPERLINK("https://www.shanghai.gov.cn/gwk/search/content/1848843b5cd749efb6413f926b538f80","https://www.shanghai.gov.cn/gwk/search/content/1848843b5cd749efb6413f926b538f80")</f>
        <v>https://www.shanghai.gov.cn/gwk/search/content/1848843b5cd749efb6413f926b538f80</v>
      </c>
      <c r="I942" s="3" t="s">
        <v>1363</v>
      </c>
      <c r="J942" t="s">
        <v>16</v>
      </c>
    </row>
    <row r="943" ht="23" customHeight="1" spans="1:10">
      <c r="A943" s="2">
        <v>942</v>
      </c>
      <c r="B943" s="3" t="s">
        <v>1364</v>
      </c>
      <c r="C943" s="2" t="s">
        <v>1365</v>
      </c>
      <c r="D943" s="2" t="s">
        <v>1366</v>
      </c>
      <c r="E943" s="2" t="s">
        <v>1366</v>
      </c>
      <c r="F943" s="2" t="s">
        <v>13</v>
      </c>
      <c r="G943" s="2" t="s">
        <v>14</v>
      </c>
      <c r="H943" s="4" t="str">
        <f>HYPERLINK("http://qnzs.youth.cn/tsxq/202506/t20250618_16065978.htm","http://qnzs.youth.cn/tsxq/202506/t20250618_16065978.htm")</f>
        <v>http://qnzs.youth.cn/tsxq/202506/t20250618_16065978.htm</v>
      </c>
      <c r="I943" s="3" t="s">
        <v>1367</v>
      </c>
      <c r="J943" t="s">
        <v>16</v>
      </c>
    </row>
    <row r="944" ht="23" customHeight="1" spans="1:10">
      <c r="A944" s="2">
        <v>943</v>
      </c>
      <c r="B944" s="3" t="s">
        <v>1364</v>
      </c>
      <c r="C944" s="2" t="s">
        <v>1365</v>
      </c>
      <c r="D944" s="2" t="s">
        <v>1129</v>
      </c>
      <c r="E944" s="2" t="s">
        <v>1129</v>
      </c>
      <c r="F944" s="2" t="s">
        <v>13</v>
      </c>
      <c r="G944" s="2" t="s">
        <v>14</v>
      </c>
      <c r="H944" s="4" t="str">
        <f>HYPERLINK("https://qnzs.youth.cn/tsxq/202506/t20250618_16065978.htm","https://qnzs.youth.cn/tsxq/202506/t20250618_16065978.htm")</f>
        <v>https://qnzs.youth.cn/tsxq/202506/t20250618_16065978.htm</v>
      </c>
      <c r="I944" s="3" t="s">
        <v>1367</v>
      </c>
      <c r="J944" t="s">
        <v>16</v>
      </c>
    </row>
    <row r="945" ht="23" customHeight="1" spans="1:10">
      <c r="A945" s="2">
        <v>944</v>
      </c>
      <c r="B945" s="3" t="s">
        <v>1352</v>
      </c>
      <c r="C945" s="2" t="s">
        <v>1368</v>
      </c>
      <c r="D945" s="2" t="s">
        <v>440</v>
      </c>
      <c r="E945" s="2" t="s">
        <v>440</v>
      </c>
      <c r="F945" s="2" t="s">
        <v>13</v>
      </c>
      <c r="G945" s="2" t="s">
        <v>441</v>
      </c>
      <c r="H945" s="4" t="str">
        <f>HYPERLINK("https://edu.online.sh.cn/education/gb/content/2025-06/18/content_10353591.htm","https://edu.online.sh.cn/education/gb/content/2025-06/18/content_10353591.htm")</f>
        <v>https://edu.online.sh.cn/education/gb/content/2025-06/18/content_10353591.htm</v>
      </c>
      <c r="I945" s="3" t="s">
        <v>1367</v>
      </c>
      <c r="J945" t="s">
        <v>16</v>
      </c>
    </row>
    <row r="946" ht="23" customHeight="1" spans="1:10">
      <c r="A946" s="2">
        <v>945</v>
      </c>
      <c r="B946" s="3" t="s">
        <v>1352</v>
      </c>
      <c r="C946" s="2" t="s">
        <v>1369</v>
      </c>
      <c r="D946" s="2" t="s">
        <v>1370</v>
      </c>
      <c r="E946" s="2" t="s">
        <v>1371</v>
      </c>
      <c r="F946" s="2" t="s">
        <v>37</v>
      </c>
      <c r="G946" s="2" t="s">
        <v>14</v>
      </c>
      <c r="H946" s="4" t="str">
        <f>HYPERLINK("https://vapp.grrb.com.cn/webDetails/news?id=13737090&amp;tenantId=124","https://vapp.grrb.com.cn/webDetails/news?id=13737090&amp;tenantId=124")</f>
        <v>https://vapp.grrb.com.cn/webDetails/news?id=13737090&amp;tenantId=124</v>
      </c>
      <c r="I946" s="3" t="s">
        <v>1372</v>
      </c>
      <c r="J946" t="s">
        <v>16</v>
      </c>
    </row>
    <row r="947" ht="23" customHeight="1" spans="1:10">
      <c r="A947" s="2">
        <v>946</v>
      </c>
      <c r="B947" s="3" t="s">
        <v>1352</v>
      </c>
      <c r="C947" s="2" t="s">
        <v>1373</v>
      </c>
      <c r="D947" s="2" t="s">
        <v>41</v>
      </c>
      <c r="E947" s="2" t="s">
        <v>1370</v>
      </c>
      <c r="F947" s="2" t="s">
        <v>13</v>
      </c>
      <c r="G947" s="2" t="s">
        <v>14</v>
      </c>
      <c r="H947" s="4" t="str">
        <f>HYPERLINK("https://baijiahao.baidu.com/s?id=1835228899158780348","https://baijiahao.baidu.com/s?id=1835228899158780348")</f>
        <v>https://baijiahao.baidu.com/s?id=1835228899158780348</v>
      </c>
      <c r="I947" s="3" t="s">
        <v>1374</v>
      </c>
      <c r="J947" t="s">
        <v>16</v>
      </c>
    </row>
    <row r="948" ht="23" customHeight="1" spans="1:10">
      <c r="A948" s="2">
        <v>947</v>
      </c>
      <c r="B948" s="3" t="s">
        <v>1375</v>
      </c>
      <c r="C948" s="2" t="s">
        <v>1376</v>
      </c>
      <c r="D948" s="2" t="s">
        <v>1377</v>
      </c>
      <c r="E948" s="2" t="s">
        <v>1378</v>
      </c>
      <c r="F948" s="2" t="s">
        <v>13</v>
      </c>
      <c r="G948" s="2" t="s">
        <v>21</v>
      </c>
      <c r="H948" s="4" t="str">
        <f>HYPERLINK("https://www.fjtv.net/folder8718/folder8784/2025-06-18/6734861.html#6734861","https://www.fjtv.net/folder8718/folder8784/2025-06-18/6734861.html#6734861")</f>
        <v>https://www.fjtv.net/folder8718/folder8784/2025-06-18/6734861.html#6734861</v>
      </c>
      <c r="I948" s="3" t="s">
        <v>1379</v>
      </c>
      <c r="J948" t="s">
        <v>16</v>
      </c>
    </row>
    <row r="949" ht="23" customHeight="1" spans="1:10">
      <c r="A949" s="2">
        <v>948</v>
      </c>
      <c r="B949" s="3" t="s">
        <v>1352</v>
      </c>
      <c r="C949" s="2" t="s">
        <v>1380</v>
      </c>
      <c r="D949" s="2" t="s">
        <v>46</v>
      </c>
      <c r="E949" s="2" t="s">
        <v>371</v>
      </c>
      <c r="F949" s="2" t="s">
        <v>13</v>
      </c>
      <c r="G949" s="2" t="s">
        <v>14</v>
      </c>
      <c r="H949" s="4" t="str">
        <f>HYPERLINK("https://www.sohu.com/a/905370114_162758","https://www.sohu.com/a/905370114_162758")</f>
        <v>https://www.sohu.com/a/905370114_162758</v>
      </c>
      <c r="I949" s="3" t="s">
        <v>1372</v>
      </c>
      <c r="J949" t="s">
        <v>16</v>
      </c>
    </row>
    <row r="950" ht="23" customHeight="1" spans="1:10">
      <c r="A950" s="2">
        <v>949</v>
      </c>
      <c r="B950" s="3" t="s">
        <v>1352</v>
      </c>
      <c r="C950" s="2" t="s">
        <v>1380</v>
      </c>
      <c r="D950" s="2" t="s">
        <v>46</v>
      </c>
      <c r="E950" s="2" t="s">
        <v>371</v>
      </c>
      <c r="F950" s="2" t="s">
        <v>37</v>
      </c>
      <c r="G950" s="2" t="s">
        <v>14</v>
      </c>
      <c r="H950" s="4" t="str">
        <f>HYPERLINK("https://3g.k.sohu.com/t/n899806677?serialId=7648fb8bd9371fff597e043b004ce657&amp;showType=899806677","https://3g.k.sohu.com/t/n899806677?serialId=7648fb8bd9371fff597e043b004ce657&amp;showType=899806677")</f>
        <v>https://3g.k.sohu.com/t/n899806677?serialId=7648fb8bd9371fff597e043b004ce657&amp;showType=899806677</v>
      </c>
      <c r="I950" s="3" t="s">
        <v>1372</v>
      </c>
      <c r="J950" t="s">
        <v>16</v>
      </c>
    </row>
    <row r="951" ht="23" customHeight="1" spans="1:10">
      <c r="A951" s="2">
        <v>950</v>
      </c>
      <c r="B951" s="3" t="s">
        <v>1375</v>
      </c>
      <c r="C951" s="2" t="s">
        <v>1381</v>
      </c>
      <c r="D951" s="2" t="s">
        <v>1370</v>
      </c>
      <c r="E951" s="2" t="s">
        <v>1370</v>
      </c>
      <c r="F951" s="2" t="s">
        <v>37</v>
      </c>
      <c r="G951" s="2" t="s">
        <v>14</v>
      </c>
      <c r="H951" s="4" t="str">
        <f>HYPERLINK("https://vapp.grrb.com.cn/webDetails/news?id=13737024&amp;tenantId=124","https://vapp.grrb.com.cn/webDetails/news?id=13737024&amp;tenantId=124")</f>
        <v>https://vapp.grrb.com.cn/webDetails/news?id=13737024&amp;tenantId=124</v>
      </c>
      <c r="I951" s="3" t="s">
        <v>1372</v>
      </c>
      <c r="J951" t="s">
        <v>16</v>
      </c>
    </row>
    <row r="952" ht="23" customHeight="1" spans="1:10">
      <c r="A952" s="2">
        <v>951</v>
      </c>
      <c r="B952" s="3" t="s">
        <v>1382</v>
      </c>
      <c r="C952" s="2" t="s">
        <v>1381</v>
      </c>
      <c r="D952" s="2" t="s">
        <v>41</v>
      </c>
      <c r="E952" s="2" t="s">
        <v>1370</v>
      </c>
      <c r="F952" s="2" t="s">
        <v>13</v>
      </c>
      <c r="G952" s="2" t="s">
        <v>14</v>
      </c>
      <c r="H952" s="4" t="str">
        <f>HYPERLINK("https://baijiahao.baidu.com/s?id=1835225879060226805","https://baijiahao.baidu.com/s?id=1835225879060226805")</f>
        <v>https://baijiahao.baidu.com/s?id=1835225879060226805</v>
      </c>
      <c r="I952" s="3" t="s">
        <v>1374</v>
      </c>
      <c r="J952" t="s">
        <v>16</v>
      </c>
    </row>
    <row r="953" ht="23" customHeight="1" spans="1:10">
      <c r="A953" s="2">
        <v>952</v>
      </c>
      <c r="B953" s="3" t="s">
        <v>1352</v>
      </c>
      <c r="C953" s="2" t="s">
        <v>1383</v>
      </c>
      <c r="D953" s="2" t="s">
        <v>29</v>
      </c>
      <c r="E953" s="2" t="s">
        <v>1384</v>
      </c>
      <c r="F953" s="2" t="s">
        <v>13</v>
      </c>
      <c r="G953" s="2" t="s">
        <v>21</v>
      </c>
      <c r="H953" s="4" t="str">
        <f>HYPERLINK("https://finance.sina.cn/2025-06-18/detail-infamzsm9092810.d.html","https://finance.sina.cn/2025-06-18/detail-infamzsm9092810.d.html")</f>
        <v>https://finance.sina.cn/2025-06-18/detail-infamzsm9092810.d.html</v>
      </c>
      <c r="I953" s="3" t="s">
        <v>1385</v>
      </c>
      <c r="J953" t="s">
        <v>16</v>
      </c>
    </row>
    <row r="954" ht="23" customHeight="1" spans="1:10">
      <c r="A954" s="2">
        <v>953</v>
      </c>
      <c r="B954" s="3" t="s">
        <v>1352</v>
      </c>
      <c r="C954" s="2" t="s">
        <v>1386</v>
      </c>
      <c r="D954" s="2" t="s">
        <v>46</v>
      </c>
      <c r="E954" s="2" t="s">
        <v>1387</v>
      </c>
      <c r="F954" s="2" t="s">
        <v>37</v>
      </c>
      <c r="G954" s="2" t="s">
        <v>21</v>
      </c>
      <c r="H954" s="4" t="str">
        <f>HYPERLINK("https://3g.k.sohu.com/t/n899917201?serialId=f79db5f0129c83abc42c7809474c25b5&amp;showType=899917201","https://3g.k.sohu.com/t/n899917201?serialId=f79db5f0129c83abc42c7809474c25b5&amp;showType=899917201")</f>
        <v>https://3g.k.sohu.com/t/n899917201?serialId=f79db5f0129c83abc42c7809474c25b5&amp;showType=899917201</v>
      </c>
      <c r="I954" s="3" t="s">
        <v>1388</v>
      </c>
      <c r="J954" t="s">
        <v>16</v>
      </c>
    </row>
    <row r="955" ht="23" customHeight="1" spans="1:10">
      <c r="A955" s="2">
        <v>954</v>
      </c>
      <c r="B955" s="3" t="s">
        <v>1352</v>
      </c>
      <c r="C955" s="2" t="s">
        <v>1386</v>
      </c>
      <c r="D955" s="2" t="s">
        <v>46</v>
      </c>
      <c r="E955" s="2" t="s">
        <v>1387</v>
      </c>
      <c r="F955" s="2" t="s">
        <v>13</v>
      </c>
      <c r="G955" s="2" t="s">
        <v>21</v>
      </c>
      <c r="H955" s="4" t="str">
        <f>HYPERLINK("https://www.sohu.com/a/905366741_120952561","https://www.sohu.com/a/905366741_120952561")</f>
        <v>https://www.sohu.com/a/905366741_120952561</v>
      </c>
      <c r="I955" s="3" t="s">
        <v>1388</v>
      </c>
      <c r="J955" t="s">
        <v>16</v>
      </c>
    </row>
    <row r="956" ht="23" customHeight="1" spans="1:10">
      <c r="A956" s="2">
        <v>955</v>
      </c>
      <c r="B956" s="3" t="s">
        <v>1389</v>
      </c>
      <c r="C956" s="2" t="s">
        <v>1390</v>
      </c>
      <c r="D956" s="2" t="s">
        <v>1391</v>
      </c>
      <c r="E956" s="2" t="s">
        <v>1391</v>
      </c>
      <c r="F956" s="2" t="s">
        <v>13</v>
      </c>
      <c r="G956" s="2" t="s">
        <v>83</v>
      </c>
      <c r="H956" s="4" t="str">
        <f>HYPERLINK("https://www.xmnn.cn/news/gnxw/202506/t20250618_348887.html","https://www.xmnn.cn/news/gnxw/202506/t20250618_348887.html")</f>
        <v>https://www.xmnn.cn/news/gnxw/202506/t20250618_348887.html</v>
      </c>
      <c r="I956" s="3" t="s">
        <v>1367</v>
      </c>
      <c r="J956" t="s">
        <v>16</v>
      </c>
    </row>
    <row r="957" ht="23" customHeight="1" spans="1:10">
      <c r="A957" s="2">
        <v>956</v>
      </c>
      <c r="B957" s="3" t="s">
        <v>1389</v>
      </c>
      <c r="C957" s="2" t="s">
        <v>1390</v>
      </c>
      <c r="D957" s="2" t="s">
        <v>1391</v>
      </c>
      <c r="E957" s="2" t="s">
        <v>1391</v>
      </c>
      <c r="F957" s="2" t="s">
        <v>13</v>
      </c>
      <c r="G957" s="2" t="s">
        <v>83</v>
      </c>
      <c r="H957" s="4" t="str">
        <f>HYPERLINK("https://news.xmnn.cn/gnxw/202506/t20250618_348887.html","https://news.xmnn.cn/gnxw/202506/t20250618_348887.html")</f>
        <v>https://news.xmnn.cn/gnxw/202506/t20250618_348887.html</v>
      </c>
      <c r="I957" s="3" t="s">
        <v>1367</v>
      </c>
      <c r="J957" t="s">
        <v>16</v>
      </c>
    </row>
    <row r="958" ht="23" customHeight="1" spans="1:10">
      <c r="A958" s="2">
        <v>957</v>
      </c>
      <c r="B958" s="3" t="s">
        <v>1352</v>
      </c>
      <c r="C958" s="2" t="s">
        <v>1392</v>
      </c>
      <c r="D958" s="2" t="s">
        <v>1393</v>
      </c>
      <c r="E958" s="2" t="s">
        <v>1393</v>
      </c>
      <c r="F958" s="2" t="s">
        <v>13</v>
      </c>
      <c r="G958" s="2" t="s">
        <v>21</v>
      </c>
      <c r="H958" s="4" t="str">
        <f>HYPERLINK("https://www.hnntv.cn/info/article/512/512749.html","https://www.hnntv.cn/info/article/512/512749.html")</f>
        <v>https://www.hnntv.cn/info/article/512/512749.html</v>
      </c>
      <c r="I958" s="3" t="s">
        <v>1374</v>
      </c>
      <c r="J958" t="s">
        <v>16</v>
      </c>
    </row>
    <row r="959" ht="23" customHeight="1" spans="1:10">
      <c r="A959" s="2">
        <v>958</v>
      </c>
      <c r="B959" s="3" t="s">
        <v>1352</v>
      </c>
      <c r="C959" s="2" t="s">
        <v>1394</v>
      </c>
      <c r="D959" s="2" t="s">
        <v>1395</v>
      </c>
      <c r="E959" s="2" t="s">
        <v>1395</v>
      </c>
      <c r="F959" s="2" t="s">
        <v>37</v>
      </c>
      <c r="G959" s="2" t="s">
        <v>21</v>
      </c>
      <c r="H959" s="4" t="str">
        <f>HYPERLINK("https://service-app.hnntv.cn/AppEngine/appinfo/STHaiNan/share.html?userId=1&amp;appId=STHaiNan&amp;userId=1&amp;style=2&amp;articleId=512749","https://service-app.hnntv.cn/AppEngine/appinfo/STHaiNan/share.html?userId=1&amp;appId=STHaiNan&amp;userId=1&amp;style=2&amp;articleId=512749")</f>
        <v>https://service-app.hnntv.cn/AppEngine/appinfo/STHaiNan/share.html?userId=1&amp;appId=STHaiNan&amp;userId=1&amp;style=2&amp;articleId=512749</v>
      </c>
      <c r="I959" s="3" t="s">
        <v>1374</v>
      </c>
      <c r="J959" t="s">
        <v>16</v>
      </c>
    </row>
    <row r="960" ht="23" customHeight="1" spans="1:10">
      <c r="A960" s="2">
        <v>959</v>
      </c>
      <c r="B960" s="3" t="s">
        <v>1352</v>
      </c>
      <c r="C960" s="2" t="s">
        <v>1396</v>
      </c>
      <c r="D960" s="2" t="s">
        <v>1397</v>
      </c>
      <c r="E960" s="2" t="s">
        <v>1397</v>
      </c>
      <c r="F960" s="2" t="s">
        <v>13</v>
      </c>
      <c r="G960" s="2" t="s">
        <v>21</v>
      </c>
      <c r="H960" s="4" t="str">
        <f>HYPERLINK("https://www.thecover.cn/news/0hKJLCjJpZGH90qSdq8Jkw==","https://www.thecover.cn/news/0hKJLCjJpZGH90qSdq8Jkw==")</f>
        <v>https://www.thecover.cn/news/0hKJLCjJpZGH90qSdq8Jkw==</v>
      </c>
      <c r="I960" s="3" t="s">
        <v>1372</v>
      </c>
      <c r="J960" t="s">
        <v>16</v>
      </c>
    </row>
    <row r="961" ht="23" customHeight="1" spans="1:10">
      <c r="A961" s="2">
        <v>960</v>
      </c>
      <c r="B961" s="3" t="s">
        <v>1355</v>
      </c>
      <c r="C961" s="2" t="s">
        <v>1398</v>
      </c>
      <c r="D961" s="2" t="s">
        <v>19</v>
      </c>
      <c r="E961" s="2" t="s">
        <v>1399</v>
      </c>
      <c r="F961" s="2" t="s">
        <v>37</v>
      </c>
      <c r="G961" s="2" t="s">
        <v>14</v>
      </c>
      <c r="H961" s="4" t="str">
        <f>HYPERLINK("https://c.m.163.com/news/a/K2AP5SO50550TYQ0.html","https://c.m.163.com/news/a/K2AP5SO50550TYQ0.html")</f>
        <v>https://c.m.163.com/news/a/K2AP5SO50550TYQ0.html</v>
      </c>
      <c r="I961" s="3" t="s">
        <v>1358</v>
      </c>
      <c r="J961" t="s">
        <v>16</v>
      </c>
    </row>
    <row r="962" ht="23" customHeight="1" spans="1:10">
      <c r="A962" s="2">
        <v>961</v>
      </c>
      <c r="B962" s="3" t="s">
        <v>1355</v>
      </c>
      <c r="C962" s="2" t="s">
        <v>1400</v>
      </c>
      <c r="D962" s="2" t="s">
        <v>11</v>
      </c>
      <c r="E962" s="2" t="s">
        <v>1399</v>
      </c>
      <c r="F962" s="2" t="s">
        <v>13</v>
      </c>
      <c r="G962" s="2" t="s">
        <v>14</v>
      </c>
      <c r="H962" s="4" t="str">
        <f>HYPERLINK("https://www.toutiao.com/article/7517067883843764774/","https://www.toutiao.com/article/7517067883843764774/")</f>
        <v>https://www.toutiao.com/article/7517067883843764774/</v>
      </c>
      <c r="I962" s="3" t="s">
        <v>1374</v>
      </c>
      <c r="J962" t="s">
        <v>16</v>
      </c>
    </row>
    <row r="963" ht="23" customHeight="1" spans="1:10">
      <c r="A963" s="2">
        <v>962</v>
      </c>
      <c r="B963" s="3" t="s">
        <v>1355</v>
      </c>
      <c r="C963" s="2" t="s">
        <v>1401</v>
      </c>
      <c r="D963" s="2" t="s">
        <v>46</v>
      </c>
      <c r="E963" s="2" t="s">
        <v>1399</v>
      </c>
      <c r="F963" s="2" t="s">
        <v>13</v>
      </c>
      <c r="G963" s="2" t="s">
        <v>14</v>
      </c>
      <c r="H963" s="4" t="str">
        <f>HYPERLINK("https://www.sohu.com/a/905356393_257321","https://www.sohu.com/a/905356393_257321")</f>
        <v>https://www.sohu.com/a/905356393_257321</v>
      </c>
      <c r="I963" s="3" t="s">
        <v>1358</v>
      </c>
      <c r="J963" t="s">
        <v>16</v>
      </c>
    </row>
    <row r="964" ht="23" customHeight="1" spans="1:10">
      <c r="A964" s="2">
        <v>963</v>
      </c>
      <c r="B964" s="3" t="s">
        <v>1355</v>
      </c>
      <c r="C964" s="2" t="s">
        <v>1401</v>
      </c>
      <c r="D964" s="2" t="s">
        <v>46</v>
      </c>
      <c r="E964" s="2" t="s">
        <v>1399</v>
      </c>
      <c r="F964" s="2" t="s">
        <v>37</v>
      </c>
      <c r="G964" s="2" t="s">
        <v>14</v>
      </c>
      <c r="H964" s="4" t="str">
        <f>HYPERLINK("https://3g.k.sohu.com/t/n899900145?serialId=00d2c0009088900aa8df3fbec9d275cd&amp;showType=899900145","https://3g.k.sohu.com/t/n899900145?serialId=00d2c0009088900aa8df3fbec9d275cd&amp;showType=899900145")</f>
        <v>https://3g.k.sohu.com/t/n899900145?serialId=00d2c0009088900aa8df3fbec9d275cd&amp;showType=899900145</v>
      </c>
      <c r="I964" s="3" t="s">
        <v>1358</v>
      </c>
      <c r="J964" t="s">
        <v>16</v>
      </c>
    </row>
    <row r="965" ht="23" customHeight="1" spans="1:10">
      <c r="A965" s="2">
        <v>964</v>
      </c>
      <c r="B965" s="3" t="s">
        <v>1355</v>
      </c>
      <c r="C965" s="2" t="s">
        <v>1402</v>
      </c>
      <c r="D965" s="2" t="s">
        <v>34</v>
      </c>
      <c r="E965" s="2" t="s">
        <v>1399</v>
      </c>
      <c r="F965" s="2" t="s">
        <v>13</v>
      </c>
      <c r="G965" s="2" t="s">
        <v>14</v>
      </c>
      <c r="H965" s="4" t="str">
        <f>HYPERLINK("https://kandianshare.html5.qq.com/v2/news/7677804208358033730","https://kandianshare.html5.qq.com/v2/news/7677804208358033730")</f>
        <v>https://kandianshare.html5.qq.com/v2/news/7677804208358033730</v>
      </c>
      <c r="I965" s="3" t="s">
        <v>1358</v>
      </c>
      <c r="J965" t="s">
        <v>16</v>
      </c>
    </row>
    <row r="966" ht="23" customHeight="1" spans="1:10">
      <c r="A966" s="2">
        <v>965</v>
      </c>
      <c r="B966" s="3" t="s">
        <v>1355</v>
      </c>
      <c r="C966" s="2" t="s">
        <v>1402</v>
      </c>
      <c r="D966" s="2" t="s">
        <v>35</v>
      </c>
      <c r="E966" s="2" t="s">
        <v>1399</v>
      </c>
      <c r="F966" s="2" t="s">
        <v>13</v>
      </c>
      <c r="G966" s="2" t="s">
        <v>14</v>
      </c>
      <c r="H966" s="4" t="str">
        <f>HYPERLINK("https://new.qq.com/rain/a/20250618A017DK00","https://new.qq.com/rain/a/20250618A017DK00")</f>
        <v>https://new.qq.com/rain/a/20250618A017DK00</v>
      </c>
      <c r="I966" s="3" t="s">
        <v>1358</v>
      </c>
      <c r="J966" t="s">
        <v>16</v>
      </c>
    </row>
    <row r="967" ht="23" customHeight="1" spans="1:10">
      <c r="A967" s="2">
        <v>966</v>
      </c>
      <c r="B967" s="3" t="s">
        <v>1352</v>
      </c>
      <c r="C967" s="2" t="s">
        <v>1403</v>
      </c>
      <c r="D967" s="2" t="s">
        <v>11</v>
      </c>
      <c r="E967" s="2" t="s">
        <v>371</v>
      </c>
      <c r="F967" s="2" t="s">
        <v>13</v>
      </c>
      <c r="G967" s="2" t="s">
        <v>14</v>
      </c>
      <c r="H967" s="4" t="str">
        <f>HYPERLINK("https://www.toutiao.com/article/7517065618902876723/","https://www.toutiao.com/article/7517065618902876723/")</f>
        <v>https://www.toutiao.com/article/7517065618902876723/</v>
      </c>
      <c r="I967" s="3" t="s">
        <v>1347</v>
      </c>
      <c r="J967" t="s">
        <v>16</v>
      </c>
    </row>
    <row r="968" ht="23" customHeight="1" spans="1:10">
      <c r="A968" s="2">
        <v>967</v>
      </c>
      <c r="B968" s="3" t="s">
        <v>1352</v>
      </c>
      <c r="C968" s="2" t="s">
        <v>1404</v>
      </c>
      <c r="D968" s="2" t="s">
        <v>41</v>
      </c>
      <c r="E968" s="2" t="s">
        <v>371</v>
      </c>
      <c r="F968" s="2" t="s">
        <v>13</v>
      </c>
      <c r="G968" s="2" t="s">
        <v>14</v>
      </c>
      <c r="H968" s="4" t="str">
        <f>HYPERLINK("https://baijiahao.baidu.com/s?id=1835220697586451152","https://baijiahao.baidu.com/s?id=1835220697586451152")</f>
        <v>https://baijiahao.baidu.com/s?id=1835220697586451152</v>
      </c>
      <c r="I968" s="3" t="s">
        <v>1374</v>
      </c>
      <c r="J968" t="s">
        <v>16</v>
      </c>
    </row>
    <row r="969" ht="23" customHeight="1" spans="1:10">
      <c r="A969" s="2">
        <v>968</v>
      </c>
      <c r="B969" s="3" t="s">
        <v>1352</v>
      </c>
      <c r="C969" s="2" t="s">
        <v>1404</v>
      </c>
      <c r="D969" s="2" t="s">
        <v>371</v>
      </c>
      <c r="E969" s="2" t="s">
        <v>371</v>
      </c>
      <c r="F969" s="2" t="s">
        <v>37</v>
      </c>
      <c r="G969" s="2" t="s">
        <v>14</v>
      </c>
      <c r="H969" s="4" t="str">
        <f>HYPERLINK("http://m.gmw.cn/2025-06/18/content_1304062133.htm","http://m.gmw.cn/2025-06/18/content_1304062133.htm")</f>
        <v>http://m.gmw.cn/2025-06/18/content_1304062133.htm</v>
      </c>
      <c r="I969" s="3" t="s">
        <v>1372</v>
      </c>
      <c r="J969" t="s">
        <v>16</v>
      </c>
    </row>
    <row r="970" ht="23" customHeight="1" spans="1:10">
      <c r="A970" s="2">
        <v>969</v>
      </c>
      <c r="B970" s="3" t="s">
        <v>1352</v>
      </c>
      <c r="C970" s="2" t="s">
        <v>1405</v>
      </c>
      <c r="D970" s="2" t="s">
        <v>360</v>
      </c>
      <c r="E970" s="2" t="s">
        <v>360</v>
      </c>
      <c r="F970" s="2" t="s">
        <v>13</v>
      </c>
      <c r="G970" s="2" t="s">
        <v>14</v>
      </c>
      <c r="H970" s="4" t="str">
        <f>HYPERLINK("https://news.cctv.com/2025/06/18/ARTIHvTpkRVd8E40hiT9cHea250618.shtml","https://news.cctv.com/2025/06/18/ARTIHvTpkRVd8E40hiT9cHea250618.shtml")</f>
        <v>https://news.cctv.com/2025/06/18/ARTIHvTpkRVd8E40hiT9cHea250618.shtml</v>
      </c>
      <c r="I970" s="3" t="s">
        <v>1374</v>
      </c>
      <c r="J970" t="s">
        <v>16</v>
      </c>
    </row>
    <row r="971" ht="23" customHeight="1" spans="1:10">
      <c r="A971" s="2">
        <v>970</v>
      </c>
      <c r="B971" s="3" t="s">
        <v>1355</v>
      </c>
      <c r="C971" s="2" t="s">
        <v>1406</v>
      </c>
      <c r="D971" s="2" t="s">
        <v>1399</v>
      </c>
      <c r="E971" s="2" t="s">
        <v>1399</v>
      </c>
      <c r="F971" s="2" t="s">
        <v>13</v>
      </c>
      <c r="G971" s="2" t="s">
        <v>14</v>
      </c>
      <c r="H971" s="4" t="str">
        <f>HYPERLINK("https://www.workercn.cn/c/2025-06-18/8544831.shtml","https://www.workercn.cn/c/2025-06-18/8544831.shtml")</f>
        <v>https://www.workercn.cn/c/2025-06-18/8544831.shtml</v>
      </c>
      <c r="I971" s="3" t="s">
        <v>1358</v>
      </c>
      <c r="J971" t="s">
        <v>16</v>
      </c>
    </row>
    <row r="972" ht="23" customHeight="1" spans="1:10">
      <c r="A972" s="2">
        <v>971</v>
      </c>
      <c r="B972" s="3" t="s">
        <v>1364</v>
      </c>
      <c r="C972" s="2" t="s">
        <v>1407</v>
      </c>
      <c r="D972" s="2" t="s">
        <v>1370</v>
      </c>
      <c r="E972" s="2" t="s">
        <v>1370</v>
      </c>
      <c r="F972" s="2" t="s">
        <v>145</v>
      </c>
      <c r="G972" s="2" t="s">
        <v>14</v>
      </c>
      <c r="H972" s="4" t="str">
        <f>HYPERLINK("https://www.workercn.cn/papers/grrb/2025/06/18/6/news-1.html","https://www.workercn.cn/papers/grrb/2025/06/18/6/news-1.html")</f>
        <v>https://www.workercn.cn/papers/grrb/2025/06/18/6/news-1.html</v>
      </c>
      <c r="I972" s="3" t="s">
        <v>1372</v>
      </c>
      <c r="J972" t="s">
        <v>16</v>
      </c>
    </row>
    <row r="973" ht="23" customHeight="1" spans="1:10">
      <c r="A973" s="2">
        <v>972</v>
      </c>
      <c r="B973" s="3" t="s">
        <v>1408</v>
      </c>
      <c r="C973" s="2" t="s">
        <v>1409</v>
      </c>
      <c r="D973" s="2" t="s">
        <v>200</v>
      </c>
      <c r="E973" s="2" t="s">
        <v>200</v>
      </c>
      <c r="F973" s="2" t="s">
        <v>13</v>
      </c>
      <c r="G973" s="2" t="s">
        <v>201</v>
      </c>
      <c r="H973" s="4" t="str">
        <f>HYPERLINK("https://guangdong.eol.cn/gdgd/202506/t20250616_2675036.shtml","https://guangdong.eol.cn/gdgd/202506/t20250616_2675036.shtml")</f>
        <v>https://guangdong.eol.cn/gdgd/202506/t20250616_2675036.shtml</v>
      </c>
      <c r="I973" s="3" t="s">
        <v>1410</v>
      </c>
      <c r="J973" t="s">
        <v>16</v>
      </c>
    </row>
    <row r="974" ht="23" customHeight="1" spans="1:10">
      <c r="A974" s="2">
        <v>973</v>
      </c>
      <c r="B974" s="3" t="s">
        <v>1411</v>
      </c>
      <c r="C974" s="2" t="s">
        <v>1412</v>
      </c>
      <c r="D974" s="2" t="s">
        <v>200</v>
      </c>
      <c r="E974" s="2" t="s">
        <v>200</v>
      </c>
      <c r="F974" s="2" t="s">
        <v>13</v>
      </c>
      <c r="G974" s="2" t="s">
        <v>201</v>
      </c>
      <c r="H974" s="4" t="str">
        <f>HYPERLINK("https://guangdong.eol.cn/gdgd/202506/t20250613_2674653.shtml","https://guangdong.eol.cn/gdgd/202506/t20250613_2674653.shtml")</f>
        <v>https://guangdong.eol.cn/gdgd/202506/t20250613_2674653.shtml</v>
      </c>
      <c r="I974" s="3" t="s">
        <v>1413</v>
      </c>
      <c r="J974" t="s">
        <v>16</v>
      </c>
    </row>
    <row r="975" ht="23" customHeight="1" spans="1:10">
      <c r="A975" s="2">
        <v>974</v>
      </c>
      <c r="B975" s="3" t="s">
        <v>1414</v>
      </c>
      <c r="C975" s="2" t="s">
        <v>1415</v>
      </c>
      <c r="D975" s="2" t="s">
        <v>1416</v>
      </c>
      <c r="E975" s="2" t="s">
        <v>1416</v>
      </c>
      <c r="F975" s="2" t="s">
        <v>13</v>
      </c>
      <c r="G975" s="2" t="s">
        <v>83</v>
      </c>
      <c r="H975" s="4" t="str">
        <f>HYPERLINK("http://yzwb.sjzdaily.com.cn/zixun/2025/06/11/99976345.html","http://yzwb.sjzdaily.com.cn/zixun/2025/06/11/99976345.html")</f>
        <v>http://yzwb.sjzdaily.com.cn/zixun/2025/06/11/99976345.html</v>
      </c>
      <c r="I975" s="3" t="s">
        <v>1417</v>
      </c>
      <c r="J975" t="s">
        <v>16</v>
      </c>
    </row>
    <row r="976" ht="23" customHeight="1" spans="1:10">
      <c r="A976" s="2">
        <v>975</v>
      </c>
      <c r="B976" s="3" t="s">
        <v>1418</v>
      </c>
      <c r="C976" s="2" t="s">
        <v>1419</v>
      </c>
      <c r="D976" s="2" t="s">
        <v>211</v>
      </c>
      <c r="E976" s="2" t="s">
        <v>211</v>
      </c>
      <c r="F976" s="2" t="s">
        <v>13</v>
      </c>
      <c r="G976" s="2" t="s">
        <v>14</v>
      </c>
      <c r="H976" s="4" t="str">
        <f>HYPERLINK("https://m.huanqiu.com/article/4N2vqTLVZwD","https://m.huanqiu.com/article/4N2vqTLVZwD")</f>
        <v>https://m.huanqiu.com/article/4N2vqTLVZwD</v>
      </c>
      <c r="I976" s="3" t="s">
        <v>1420</v>
      </c>
      <c r="J976" t="s">
        <v>16</v>
      </c>
    </row>
    <row r="977" ht="23" customHeight="1" spans="1:10">
      <c r="A977" s="2">
        <v>976</v>
      </c>
      <c r="B977" s="3" t="s">
        <v>1418</v>
      </c>
      <c r="C977" s="2" t="s">
        <v>1421</v>
      </c>
      <c r="D977" s="2" t="s">
        <v>211</v>
      </c>
      <c r="E977" s="2" t="s">
        <v>211</v>
      </c>
      <c r="F977" s="2" t="s">
        <v>13</v>
      </c>
      <c r="G977" s="2" t="s">
        <v>14</v>
      </c>
      <c r="H977" s="4" t="str">
        <f>HYPERLINK("https://biz.huanqiu.com/article/4N2vqTLVZwD","https://biz.huanqiu.com/article/4N2vqTLVZwD")</f>
        <v>https://biz.huanqiu.com/article/4N2vqTLVZwD</v>
      </c>
      <c r="I977" s="3" t="s">
        <v>1420</v>
      </c>
      <c r="J977" t="s">
        <v>16</v>
      </c>
    </row>
    <row r="978" ht="23" customHeight="1" spans="1:10">
      <c r="A978" s="2">
        <v>977</v>
      </c>
      <c r="B978" s="3" t="s">
        <v>1414</v>
      </c>
      <c r="C978" s="2" t="s">
        <v>1422</v>
      </c>
      <c r="D978" s="2" t="s">
        <v>491</v>
      </c>
      <c r="E978" s="2" t="s">
        <v>1423</v>
      </c>
      <c r="F978" s="2" t="s">
        <v>13</v>
      </c>
      <c r="G978" s="2" t="s">
        <v>26</v>
      </c>
      <c r="H978" s="4" t="str">
        <f>HYPERLINK("https://ishare.ifeng.com/c/s/8k4qAasIfRE","https://ishare.ifeng.com/c/s/8k4qAasIfRE")</f>
        <v>https://ishare.ifeng.com/c/s/8k4qAasIfRE</v>
      </c>
      <c r="I978" s="3" t="s">
        <v>1417</v>
      </c>
      <c r="J978" t="s">
        <v>16</v>
      </c>
    </row>
    <row r="979" ht="23" customHeight="1" spans="1:10">
      <c r="A979" s="2">
        <v>978</v>
      </c>
      <c r="B979" s="3" t="s">
        <v>1424</v>
      </c>
      <c r="C979" s="2" t="s">
        <v>1425</v>
      </c>
      <c r="D979" s="2" t="s">
        <v>1426</v>
      </c>
      <c r="E979" s="2" t="s">
        <v>1426</v>
      </c>
      <c r="F979" s="2" t="s">
        <v>13</v>
      </c>
      <c r="G979" s="2" t="s">
        <v>21</v>
      </c>
      <c r="H979" s="4" t="str">
        <f>HYPERLINK("http://www.hunantoday.cn/news/xhn/202506/29669982.html","http://www.hunantoday.cn/news/xhn/202506/29669982.html")</f>
        <v>http://www.hunantoday.cn/news/xhn/202506/29669982.html</v>
      </c>
      <c r="I979" s="3" t="s">
        <v>1427</v>
      </c>
      <c r="J979" t="s">
        <v>16</v>
      </c>
    </row>
    <row r="980" ht="23" customHeight="1" spans="1:10">
      <c r="A980" s="2">
        <v>979</v>
      </c>
      <c r="B980" s="3" t="s">
        <v>1414</v>
      </c>
      <c r="C980" s="2" t="s">
        <v>1428</v>
      </c>
      <c r="D980" s="2" t="s">
        <v>1429</v>
      </c>
      <c r="E980" s="2" t="s">
        <v>1429</v>
      </c>
      <c r="F980" s="2" t="s">
        <v>13</v>
      </c>
      <c r="G980" s="2" t="s">
        <v>26</v>
      </c>
      <c r="H980" s="4" t="str">
        <f>HYPERLINK("https://life.china.com/2025-06/10/content_449618.html","https://life.china.com/2025-06/10/content_449618.html")</f>
        <v>https://life.china.com/2025-06/10/content_449618.html</v>
      </c>
      <c r="I980" s="3" t="s">
        <v>1430</v>
      </c>
      <c r="J980" t="s">
        <v>16</v>
      </c>
    </row>
    <row r="981" ht="23" customHeight="1" spans="1:10">
      <c r="A981" s="2">
        <v>980</v>
      </c>
      <c r="B981" s="3" t="s">
        <v>1431</v>
      </c>
      <c r="C981" s="2" t="s">
        <v>1432</v>
      </c>
      <c r="D981" s="2" t="s">
        <v>477</v>
      </c>
      <c r="E981" s="2" t="s">
        <v>477</v>
      </c>
      <c r="F981" s="2" t="s">
        <v>13</v>
      </c>
      <c r="G981" s="2" t="s">
        <v>14</v>
      </c>
      <c r="H981" s="4" t="str">
        <f>HYPERLINK("http://szjj.china.com.cn/2025-06/10/content_43140886.html","http://szjj.china.com.cn/2025-06/10/content_43140886.html")</f>
        <v>http://szjj.china.com.cn/2025-06/10/content_43140886.html</v>
      </c>
      <c r="I981" s="3" t="s">
        <v>1433</v>
      </c>
      <c r="J981" t="s">
        <v>16</v>
      </c>
    </row>
    <row r="982" ht="23" customHeight="1" spans="1:10">
      <c r="A982" s="2">
        <v>981</v>
      </c>
      <c r="B982" s="3" t="s">
        <v>1434</v>
      </c>
      <c r="C982" s="2" t="s">
        <v>1435</v>
      </c>
      <c r="D982" s="2" t="s">
        <v>1231</v>
      </c>
      <c r="E982" s="2" t="s">
        <v>1231</v>
      </c>
      <c r="F982" s="2" t="s">
        <v>13</v>
      </c>
      <c r="G982" s="2" t="s">
        <v>14</v>
      </c>
      <c r="H982" s="4" t="str">
        <f>HYPERLINK("http://g60.chinadevelopment.com.cn/sjxw/2025/0610/1947265.shtml","http://g60.chinadevelopment.com.cn/sjxw/2025/0610/1947265.shtml")</f>
        <v>http://g60.chinadevelopment.com.cn/sjxw/2025/0610/1947265.shtml</v>
      </c>
      <c r="I982" s="3" t="s">
        <v>1436</v>
      </c>
      <c r="J982" t="s">
        <v>16</v>
      </c>
    </row>
    <row r="983" ht="23" customHeight="1" spans="1:10">
      <c r="A983" s="2">
        <v>982</v>
      </c>
      <c r="B983" s="3" t="s">
        <v>1437</v>
      </c>
      <c r="C983" s="2" t="s">
        <v>1438</v>
      </c>
      <c r="D983" s="2" t="s">
        <v>200</v>
      </c>
      <c r="E983" s="2" t="s">
        <v>200</v>
      </c>
      <c r="F983" s="2" t="s">
        <v>13</v>
      </c>
      <c r="G983" s="2" t="s">
        <v>201</v>
      </c>
      <c r="H983" s="4" t="str">
        <f>HYPERLINK("https://www.eol.cn/news/zjyw/202506/t20250610_2673811.shtml","https://www.eol.cn/news/zjyw/202506/t20250610_2673811.shtml")</f>
        <v>https://www.eol.cn/news/zjyw/202506/t20250610_2673811.shtml</v>
      </c>
      <c r="I983" s="3" t="s">
        <v>1439</v>
      </c>
      <c r="J983" t="s">
        <v>16</v>
      </c>
    </row>
    <row r="984" ht="23" customHeight="1" spans="1:10">
      <c r="A984" s="2">
        <v>983</v>
      </c>
      <c r="B984" s="3" t="s">
        <v>1440</v>
      </c>
      <c r="C984" s="2" t="s">
        <v>1441</v>
      </c>
      <c r="D984" s="2" t="s">
        <v>200</v>
      </c>
      <c r="E984" s="2" t="s">
        <v>200</v>
      </c>
      <c r="F984" s="2" t="s">
        <v>13</v>
      </c>
      <c r="G984" s="2" t="s">
        <v>201</v>
      </c>
      <c r="H984" s="4" t="str">
        <f>HYPERLINK("https://guangdong.eol.cn/gdgd/202506/t20250609_2673662.shtml","https://guangdong.eol.cn/gdgd/202506/t20250609_2673662.shtml")</f>
        <v>https://guangdong.eol.cn/gdgd/202506/t20250609_2673662.shtml</v>
      </c>
      <c r="I984" s="3" t="s">
        <v>1442</v>
      </c>
      <c r="J984" t="s">
        <v>16</v>
      </c>
    </row>
    <row r="985" ht="23" customHeight="1" spans="1:10">
      <c r="A985" s="2">
        <v>984</v>
      </c>
      <c r="B985" s="3" t="s">
        <v>1431</v>
      </c>
      <c r="C985" s="2" t="s">
        <v>1443</v>
      </c>
      <c r="D985" s="2" t="s">
        <v>1444</v>
      </c>
      <c r="E985" s="2" t="s">
        <v>1444</v>
      </c>
      <c r="F985" s="2" t="s">
        <v>13</v>
      </c>
      <c r="G985" s="2" t="s">
        <v>26</v>
      </c>
      <c r="H985" s="4" t="str">
        <f>HYPERLINK("http://www.cneo.com.cn/article-85648-1.html","http://www.cneo.com.cn/article-85648-1.html")</f>
        <v>http://www.cneo.com.cn/article-85648-1.html</v>
      </c>
      <c r="I985" s="3" t="s">
        <v>1445</v>
      </c>
      <c r="J985" t="s">
        <v>16</v>
      </c>
    </row>
    <row r="986" ht="23" customHeight="1" spans="1:10">
      <c r="A986" s="2">
        <v>985</v>
      </c>
      <c r="B986" s="3" t="s">
        <v>1446</v>
      </c>
      <c r="C986" s="2" t="s">
        <v>1447</v>
      </c>
      <c r="D986" s="2" t="s">
        <v>19</v>
      </c>
      <c r="E986" s="2" t="s">
        <v>20</v>
      </c>
      <c r="F986" s="2" t="s">
        <v>37</v>
      </c>
      <c r="G986" s="2" t="s">
        <v>21</v>
      </c>
      <c r="H986" s="4" t="str">
        <f>HYPERLINK("https://c.m.163.com/news/a/K1KMLSO9055040N3.html","https://c.m.163.com/news/a/K1KMLSO9055040N3.html")</f>
        <v>https://c.m.163.com/news/a/K1KMLSO9055040N3.html</v>
      </c>
      <c r="I986" s="3" t="s">
        <v>1448</v>
      </c>
      <c r="J986" t="s">
        <v>16</v>
      </c>
    </row>
    <row r="987" ht="23" customHeight="1" spans="1:10">
      <c r="A987" s="2">
        <v>986</v>
      </c>
      <c r="B987" s="3" t="s">
        <v>1446</v>
      </c>
      <c r="C987" s="2" t="s">
        <v>1449</v>
      </c>
      <c r="D987" s="2" t="s">
        <v>19</v>
      </c>
      <c r="E987" s="2" t="s">
        <v>135</v>
      </c>
      <c r="F987" s="2" t="s">
        <v>37</v>
      </c>
      <c r="G987" s="2" t="s">
        <v>21</v>
      </c>
      <c r="H987" s="4" t="str">
        <f>HYPERLINK("https://c.m.163.com/news/a/K1KLHCJB05506BEH.html","https://c.m.163.com/news/a/K1KLHCJB05506BEH.html")</f>
        <v>https://c.m.163.com/news/a/K1KLHCJB05506BEH.html</v>
      </c>
      <c r="I987" s="3" t="s">
        <v>1448</v>
      </c>
      <c r="J987" t="s">
        <v>16</v>
      </c>
    </row>
    <row r="988" ht="23" customHeight="1" spans="1:10">
      <c r="A988" s="2">
        <v>987</v>
      </c>
      <c r="B988" s="3" t="s">
        <v>1446</v>
      </c>
      <c r="C988" s="2" t="s">
        <v>1450</v>
      </c>
      <c r="D988" s="2" t="s">
        <v>11</v>
      </c>
      <c r="E988" s="2" t="s">
        <v>20</v>
      </c>
      <c r="F988" s="2" t="s">
        <v>13</v>
      </c>
      <c r="G988" s="2" t="s">
        <v>21</v>
      </c>
      <c r="H988" s="4" t="str">
        <f>HYPERLINK("https://www.toutiao.com/article/7513882583324607010/","https://www.toutiao.com/article/7513882583324607010/")</f>
        <v>https://www.toutiao.com/article/7513882583324607010/</v>
      </c>
      <c r="I988" s="3" t="s">
        <v>1448</v>
      </c>
      <c r="J988" t="s">
        <v>16</v>
      </c>
    </row>
    <row r="989" ht="23" customHeight="1" spans="1:10">
      <c r="A989" s="2">
        <v>988</v>
      </c>
      <c r="B989" s="3" t="s">
        <v>1446</v>
      </c>
      <c r="C989" s="2" t="s">
        <v>1451</v>
      </c>
      <c r="D989" s="2" t="s">
        <v>34</v>
      </c>
      <c r="E989" s="2" t="s">
        <v>20</v>
      </c>
      <c r="F989" s="2" t="s">
        <v>13</v>
      </c>
      <c r="G989" s="2" t="s">
        <v>21</v>
      </c>
      <c r="H989" s="4" t="str">
        <f>HYPERLINK("https://kandianshare.html5.qq.com/v2/news/2291497498838454594","https://kandianshare.html5.qq.com/v2/news/2291497498838454594")</f>
        <v>https://kandianshare.html5.qq.com/v2/news/2291497498838454594</v>
      </c>
      <c r="I989" s="3" t="s">
        <v>1448</v>
      </c>
      <c r="J989" t="s">
        <v>16</v>
      </c>
    </row>
    <row r="990" ht="23" customHeight="1" spans="1:10">
      <c r="A990" s="2">
        <v>989</v>
      </c>
      <c r="B990" s="3" t="s">
        <v>1446</v>
      </c>
      <c r="C990" s="2" t="s">
        <v>1451</v>
      </c>
      <c r="D990" s="2" t="s">
        <v>35</v>
      </c>
      <c r="E990" s="2" t="s">
        <v>20</v>
      </c>
      <c r="F990" s="2" t="s">
        <v>13</v>
      </c>
      <c r="G990" s="2" t="s">
        <v>21</v>
      </c>
      <c r="H990" s="4" t="str">
        <f>HYPERLINK("https://new.qq.com/rain/a/20250609A07D9R00","https://new.qq.com/rain/a/20250609A07D9R00")</f>
        <v>https://new.qq.com/rain/a/20250609A07D9R00</v>
      </c>
      <c r="I990" s="3" t="s">
        <v>1448</v>
      </c>
      <c r="J990" t="s">
        <v>16</v>
      </c>
    </row>
    <row r="991" ht="23" customHeight="1" spans="1:10">
      <c r="A991" s="2">
        <v>990</v>
      </c>
      <c r="B991" s="3" t="s">
        <v>1446</v>
      </c>
      <c r="C991" s="2" t="s">
        <v>1452</v>
      </c>
      <c r="D991" s="2" t="s">
        <v>41</v>
      </c>
      <c r="E991" s="2" t="s">
        <v>20</v>
      </c>
      <c r="F991" s="2" t="s">
        <v>13</v>
      </c>
      <c r="G991" s="2" t="s">
        <v>21</v>
      </c>
      <c r="H991" s="4" t="str">
        <f>HYPERLINK("https://baijiahao.baidu.com/s?id=1834443770914362260","https://baijiahao.baidu.com/s?id=1834443770914362260")</f>
        <v>https://baijiahao.baidu.com/s?id=1834443770914362260</v>
      </c>
      <c r="I991" s="3" t="s">
        <v>1448</v>
      </c>
      <c r="J991" t="s">
        <v>16</v>
      </c>
    </row>
    <row r="992" ht="23" customHeight="1" spans="1:10">
      <c r="A992" s="2">
        <v>991</v>
      </c>
      <c r="B992" s="3" t="s">
        <v>1446</v>
      </c>
      <c r="C992" s="2" t="s">
        <v>1453</v>
      </c>
      <c r="D992" s="2" t="s">
        <v>107</v>
      </c>
      <c r="E992" s="2" t="s">
        <v>135</v>
      </c>
      <c r="F992" s="2" t="s">
        <v>13</v>
      </c>
      <c r="G992" s="2" t="s">
        <v>21</v>
      </c>
      <c r="H992" s="4" t="str">
        <f>HYPERLINK("https://k.sina.cn/article_1914880192_7222c0c002001i8gk.html","https://k.sina.cn/article_1914880192_7222c0c002001i8gk.html")</f>
        <v>https://k.sina.cn/article_1914880192_7222c0c002001i8gk.html</v>
      </c>
      <c r="I992" s="3" t="s">
        <v>1448</v>
      </c>
      <c r="J992" t="s">
        <v>16</v>
      </c>
    </row>
    <row r="993" ht="23" customHeight="1" spans="1:10">
      <c r="A993" s="2">
        <v>992</v>
      </c>
      <c r="B993" s="3" t="s">
        <v>1446</v>
      </c>
      <c r="C993" s="2" t="s">
        <v>1453</v>
      </c>
      <c r="D993" s="2" t="s">
        <v>43</v>
      </c>
      <c r="E993" s="2" t="s">
        <v>1454</v>
      </c>
      <c r="F993" s="2" t="s">
        <v>13</v>
      </c>
      <c r="G993" s="2" t="s">
        <v>21</v>
      </c>
      <c r="H993" s="4" t="str">
        <f>HYPERLINK("https://www.jfdaily.com.cn/staticsg/res/html/web/newsDetail.html?id=925366","https://www.jfdaily.com.cn/staticsg/res/html/web/newsDetail.html?id=925366")</f>
        <v>https://www.jfdaily.com.cn/staticsg/res/html/web/newsDetail.html?id=925366</v>
      </c>
      <c r="I993" s="3" t="s">
        <v>1448</v>
      </c>
      <c r="J993" t="s">
        <v>16</v>
      </c>
    </row>
    <row r="994" ht="23" customHeight="1" spans="1:10">
      <c r="A994" s="2">
        <v>993</v>
      </c>
      <c r="B994" s="3" t="s">
        <v>1446</v>
      </c>
      <c r="C994" s="2" t="s">
        <v>1455</v>
      </c>
      <c r="D994" s="2" t="s">
        <v>46</v>
      </c>
      <c r="E994" s="2" t="s">
        <v>135</v>
      </c>
      <c r="F994" s="2" t="s">
        <v>37</v>
      </c>
      <c r="G994" s="2" t="s">
        <v>21</v>
      </c>
      <c r="H994" s="4" t="str">
        <f>HYPERLINK("https://3g.k.sohu.com/t/n897339974?serialId=e2b61bfdaa774782982d2af3f750fd49&amp;showType=897339974","https://3g.k.sohu.com/t/n897339974?serialId=e2b61bfdaa774782982d2af3f750fd49&amp;showType=897339974")</f>
        <v>https://3g.k.sohu.com/t/n897339974?serialId=e2b61bfdaa774782982d2af3f750fd49&amp;showType=897339974</v>
      </c>
      <c r="I994" s="3" t="s">
        <v>1456</v>
      </c>
      <c r="J994" t="s">
        <v>16</v>
      </c>
    </row>
    <row r="995" ht="23" customHeight="1" spans="1:10">
      <c r="A995" s="2">
        <v>994</v>
      </c>
      <c r="B995" s="3" t="s">
        <v>1446</v>
      </c>
      <c r="C995" s="2" t="s">
        <v>1455</v>
      </c>
      <c r="D995" s="2" t="s">
        <v>46</v>
      </c>
      <c r="E995" s="2" t="s">
        <v>135</v>
      </c>
      <c r="F995" s="2" t="s">
        <v>13</v>
      </c>
      <c r="G995" s="2" t="s">
        <v>21</v>
      </c>
      <c r="H995" s="4" t="str">
        <f>HYPERLINK("https://www.sohu.com/a/902810687_120244154","https://www.sohu.com/a/902810687_120244154")</f>
        <v>https://www.sohu.com/a/902810687_120244154</v>
      </c>
      <c r="I995" s="3" t="s">
        <v>1448</v>
      </c>
      <c r="J995" t="s">
        <v>16</v>
      </c>
    </row>
    <row r="996" ht="23" customHeight="1" spans="1:10">
      <c r="A996" s="2">
        <v>995</v>
      </c>
      <c r="B996" s="3" t="s">
        <v>1446</v>
      </c>
      <c r="C996" s="2" t="s">
        <v>1455</v>
      </c>
      <c r="D996" s="2" t="s">
        <v>43</v>
      </c>
      <c r="E996" s="2" t="s">
        <v>43</v>
      </c>
      <c r="F996" s="2" t="s">
        <v>37</v>
      </c>
      <c r="G996" s="2" t="s">
        <v>21</v>
      </c>
      <c r="H996" s="4" t="str">
        <f>HYPERLINK("https://export.shobserver.com/baijiahao/html/925366.html","https://export.shobserver.com/baijiahao/html/925366.html")</f>
        <v>https://export.shobserver.com/baijiahao/html/925366.html</v>
      </c>
      <c r="I996" s="3" t="s">
        <v>1448</v>
      </c>
      <c r="J996" t="s">
        <v>16</v>
      </c>
    </row>
    <row r="997" ht="23" customHeight="1" spans="1:10">
      <c r="A997" s="2">
        <v>996</v>
      </c>
      <c r="B997" s="3" t="s">
        <v>1446</v>
      </c>
      <c r="C997" s="2" t="s">
        <v>1455</v>
      </c>
      <c r="D997" s="2" t="s">
        <v>43</v>
      </c>
      <c r="E997" s="2" t="s">
        <v>1454</v>
      </c>
      <c r="F997" s="2" t="s">
        <v>13</v>
      </c>
      <c r="G997" s="2" t="s">
        <v>21</v>
      </c>
      <c r="H997" s="4" t="str">
        <f>HYPERLINK("https://www.jfdaily.com/staticsg/res/html/web/newsDetail.html?id=925366","https://www.jfdaily.com/staticsg/res/html/web/newsDetail.html?id=925366")</f>
        <v>https://www.jfdaily.com/staticsg/res/html/web/newsDetail.html?id=925366</v>
      </c>
      <c r="I997" s="3" t="s">
        <v>1448</v>
      </c>
      <c r="J997" t="s">
        <v>16</v>
      </c>
    </row>
    <row r="998" ht="23" customHeight="1" spans="1:10">
      <c r="A998" s="2">
        <v>997</v>
      </c>
      <c r="B998" s="3" t="s">
        <v>1446</v>
      </c>
      <c r="C998" s="2" t="s">
        <v>1455</v>
      </c>
      <c r="D998" s="2" t="s">
        <v>41</v>
      </c>
      <c r="E998" s="2" t="s">
        <v>135</v>
      </c>
      <c r="F998" s="2" t="s">
        <v>13</v>
      </c>
      <c r="G998" s="2" t="s">
        <v>21</v>
      </c>
      <c r="H998" s="4" t="str">
        <f>HYPERLINK("https://baijiahao.baidu.com/s?id=1834443788567711996","https://baijiahao.baidu.com/s?id=1834443788567711996")</f>
        <v>https://baijiahao.baidu.com/s?id=1834443788567711996</v>
      </c>
      <c r="I998" s="3" t="s">
        <v>1448</v>
      </c>
      <c r="J998" t="s">
        <v>16</v>
      </c>
    </row>
    <row r="999" ht="23" customHeight="1" spans="1:10">
      <c r="A999" s="2">
        <v>998</v>
      </c>
      <c r="B999" s="3" t="s">
        <v>1446</v>
      </c>
      <c r="C999" s="2" t="s">
        <v>1455</v>
      </c>
      <c r="D999" s="2" t="s">
        <v>491</v>
      </c>
      <c r="E999" s="2" t="s">
        <v>649</v>
      </c>
      <c r="F999" s="2" t="s">
        <v>13</v>
      </c>
      <c r="G999" s="2" t="s">
        <v>21</v>
      </c>
      <c r="H999" s="4" t="str">
        <f>HYPERLINK("https://ishare.ifeng.com/c/s/8k35YoFKvLI","https://ishare.ifeng.com/c/s/8k35YoFKvLI")</f>
        <v>https://ishare.ifeng.com/c/s/8k35YoFKvLI</v>
      </c>
      <c r="I999" s="3" t="s">
        <v>1448</v>
      </c>
      <c r="J999" t="s">
        <v>16</v>
      </c>
    </row>
    <row r="1000" ht="23" customHeight="1" spans="1:10">
      <c r="A1000" s="2">
        <v>999</v>
      </c>
      <c r="B1000" s="3" t="s">
        <v>1457</v>
      </c>
      <c r="C1000" s="2" t="s">
        <v>1458</v>
      </c>
      <c r="D1000" s="2" t="s">
        <v>107</v>
      </c>
      <c r="E1000" s="2" t="s">
        <v>1459</v>
      </c>
      <c r="F1000" s="2" t="s">
        <v>13</v>
      </c>
      <c r="G1000" s="2" t="s">
        <v>21</v>
      </c>
      <c r="H1000" s="4" t="str">
        <f>HYPERLINK("https://k.sina.cn/article_2131593523_7f0d893302001jvsq.html","https://k.sina.cn/article_2131593523_7f0d893302001jvsq.html")</f>
        <v>https://k.sina.cn/article_2131593523_7f0d893302001jvsq.html</v>
      </c>
      <c r="I1000" s="3" t="s">
        <v>1460</v>
      </c>
      <c r="J1000" t="s">
        <v>16</v>
      </c>
    </row>
    <row r="1001" ht="23" customHeight="1" spans="1:10">
      <c r="A1001" s="2">
        <v>1000</v>
      </c>
      <c r="B1001" s="3" t="s">
        <v>1461</v>
      </c>
      <c r="C1001" s="2" t="s">
        <v>1462</v>
      </c>
      <c r="D1001" s="2" t="s">
        <v>107</v>
      </c>
      <c r="E1001" s="2" t="s">
        <v>1463</v>
      </c>
      <c r="F1001" s="2" t="s">
        <v>13</v>
      </c>
      <c r="G1001" s="2" t="s">
        <v>26</v>
      </c>
      <c r="H1001" s="4" t="str">
        <f>HYPERLINK("https://k.sina.cn/article_5787187353_158f1789902001wcje.html","https://k.sina.cn/article_5787187353_158f1789902001wcje.html")</f>
        <v>https://k.sina.cn/article_5787187353_158f1789902001wcje.html</v>
      </c>
      <c r="I1001" s="3" t="s">
        <v>1460</v>
      </c>
      <c r="J1001" t="s">
        <v>16</v>
      </c>
    </row>
    <row r="1002" ht="23" customHeight="1" spans="1:10">
      <c r="A1002" s="2">
        <v>1001</v>
      </c>
      <c r="B1002" s="3" t="s">
        <v>1461</v>
      </c>
      <c r="C1002" s="2" t="s">
        <v>1462</v>
      </c>
      <c r="D1002" s="2" t="s">
        <v>41</v>
      </c>
      <c r="E1002" s="2" t="s">
        <v>1463</v>
      </c>
      <c r="F1002" s="2" t="s">
        <v>13</v>
      </c>
      <c r="G1002" s="2" t="s">
        <v>26</v>
      </c>
      <c r="H1002" s="4" t="str">
        <f>HYPERLINK("https://baijiahao.baidu.com/s?id=1834420008656628598","https://baijiahao.baidu.com/s?id=1834420008656628598")</f>
        <v>https://baijiahao.baidu.com/s?id=1834420008656628598</v>
      </c>
      <c r="I1002" s="3" t="s">
        <v>1460</v>
      </c>
      <c r="J1002" t="s">
        <v>16</v>
      </c>
    </row>
    <row r="1003" ht="23" customHeight="1" spans="1:10">
      <c r="A1003" s="2">
        <v>1002</v>
      </c>
      <c r="B1003" s="3" t="s">
        <v>1464</v>
      </c>
      <c r="C1003" s="2" t="s">
        <v>1465</v>
      </c>
      <c r="D1003" s="2" t="s">
        <v>1466</v>
      </c>
      <c r="E1003" s="2" t="s">
        <v>1466</v>
      </c>
      <c r="F1003" s="2" t="s">
        <v>37</v>
      </c>
      <c r="G1003" s="2" t="s">
        <v>21</v>
      </c>
      <c r="H1003" s="4" t="str">
        <f>HYPERLINK("https://www.app2020.tjyun.com/jyapp/system/2025/06/09/058435807.shtml","https://www.app2020.tjyun.com/jyapp/system/2025/06/09/058435807.shtml")</f>
        <v>https://www.app2020.tjyun.com/jyapp/system/2025/06/09/058435807.shtml</v>
      </c>
      <c r="I1003" s="3" t="s">
        <v>1467</v>
      </c>
      <c r="J1003" t="s">
        <v>16</v>
      </c>
    </row>
    <row r="1004" ht="23" customHeight="1" spans="1:10">
      <c r="A1004" s="2">
        <v>1003</v>
      </c>
      <c r="B1004" s="3" t="s">
        <v>1468</v>
      </c>
      <c r="C1004" s="2" t="s">
        <v>1469</v>
      </c>
      <c r="D1004" s="2" t="s">
        <v>1470</v>
      </c>
      <c r="E1004" s="2" t="s">
        <v>1471</v>
      </c>
      <c r="F1004" s="2" t="s">
        <v>37</v>
      </c>
      <c r="G1004" s="2" t="s">
        <v>21</v>
      </c>
      <c r="H1004" s="4" t="s">
        <v>1472</v>
      </c>
      <c r="I1004" s="3" t="s">
        <v>1467</v>
      </c>
      <c r="J1004" t="s">
        <v>16</v>
      </c>
    </row>
    <row r="1005" ht="23" customHeight="1" spans="1:10">
      <c r="A1005" s="2">
        <v>1004</v>
      </c>
      <c r="B1005" s="3" t="s">
        <v>1473</v>
      </c>
      <c r="C1005" s="2" t="s">
        <v>1474</v>
      </c>
      <c r="D1005" s="2" t="s">
        <v>1475</v>
      </c>
      <c r="E1005" s="2" t="s">
        <v>1475</v>
      </c>
      <c r="F1005" s="2" t="s">
        <v>145</v>
      </c>
      <c r="G1005" s="2" t="s">
        <v>21</v>
      </c>
      <c r="H1005" s="4" t="str">
        <f>HYPERLINK("http://epaper.tianjinwe.com/tjrb/html/2025-06/09/content_143100_2266825.htm","http://epaper.tianjinwe.com/tjrb/html/2025-06/09/content_143100_2266825.htm")</f>
        <v>http://epaper.tianjinwe.com/tjrb/html/2025-06/09/content_143100_2266825.htm</v>
      </c>
      <c r="I1005" s="3" t="s">
        <v>1467</v>
      </c>
      <c r="J1005" t="s">
        <v>16</v>
      </c>
    </row>
    <row r="1006" ht="23" customHeight="1" spans="1:10">
      <c r="A1006" s="2">
        <v>1005</v>
      </c>
      <c r="B1006" s="3" t="s">
        <v>1468</v>
      </c>
      <c r="C1006" s="2" t="s">
        <v>1476</v>
      </c>
      <c r="D1006" s="2" t="s">
        <v>107</v>
      </c>
      <c r="E1006" s="2" t="s">
        <v>108</v>
      </c>
      <c r="F1006" s="2" t="s">
        <v>13</v>
      </c>
      <c r="G1006" s="2" t="s">
        <v>14</v>
      </c>
      <c r="H1006" s="4" t="str">
        <f>HYPERLINK("https://k.sina.cn/article_7517400647_1c0126e47059071et4.html","https://k.sina.cn/article_7517400647_1c0126e47059071et4.html")</f>
        <v>https://k.sina.cn/article_7517400647_1c0126e47059071et4.html</v>
      </c>
      <c r="I1006" s="3" t="s">
        <v>1477</v>
      </c>
      <c r="J1006" t="s">
        <v>16</v>
      </c>
    </row>
    <row r="1007" ht="23" customHeight="1" spans="1:10">
      <c r="A1007" s="2">
        <v>1006</v>
      </c>
      <c r="B1007" s="3" t="s">
        <v>1468</v>
      </c>
      <c r="C1007" s="2" t="s">
        <v>1478</v>
      </c>
      <c r="D1007" s="2" t="s">
        <v>1470</v>
      </c>
      <c r="E1007" s="2" t="s">
        <v>1471</v>
      </c>
      <c r="F1007" s="2" t="s">
        <v>37</v>
      </c>
      <c r="G1007" s="2" t="s">
        <v>21</v>
      </c>
      <c r="H1007" s="4" t="s">
        <v>1479</v>
      </c>
      <c r="I1007" s="3" t="s">
        <v>1467</v>
      </c>
      <c r="J1007" t="s">
        <v>16</v>
      </c>
    </row>
    <row r="1008" ht="23" customHeight="1" spans="1:10">
      <c r="A1008" s="2">
        <v>1007</v>
      </c>
      <c r="B1008" s="3" t="s">
        <v>1480</v>
      </c>
      <c r="C1008" s="2" t="s">
        <v>1481</v>
      </c>
      <c r="D1008" s="2" t="s">
        <v>200</v>
      </c>
      <c r="E1008" s="2" t="s">
        <v>200</v>
      </c>
      <c r="F1008" s="2" t="s">
        <v>13</v>
      </c>
      <c r="G1008" s="2" t="s">
        <v>201</v>
      </c>
      <c r="H1008" s="4" t="str">
        <f>HYPERLINK("https://guangdong.eol.cn/gdgd/202506/t20250607_2673312.shtml","https://guangdong.eol.cn/gdgd/202506/t20250607_2673312.shtml")</f>
        <v>https://guangdong.eol.cn/gdgd/202506/t20250607_2673312.shtml</v>
      </c>
      <c r="I1008" s="3" t="s">
        <v>1482</v>
      </c>
      <c r="J1008" t="s">
        <v>16</v>
      </c>
    </row>
    <row r="1009" ht="23" customHeight="1" spans="1:10">
      <c r="A1009" s="2">
        <v>1008</v>
      </c>
      <c r="B1009" s="3" t="s">
        <v>1483</v>
      </c>
      <c r="C1009" s="2" t="s">
        <v>1484</v>
      </c>
      <c r="D1009" s="2" t="s">
        <v>41</v>
      </c>
      <c r="E1009" s="2" t="s">
        <v>20</v>
      </c>
      <c r="F1009" s="2" t="s">
        <v>13</v>
      </c>
      <c r="G1009" s="2" t="s">
        <v>21</v>
      </c>
      <c r="H1009" s="4" t="str">
        <f>HYPERLINK("https://baijiahao.baidu.com/s?id=1834228106940206999","https://baijiahao.baidu.com/s?id=1834228106940206999")</f>
        <v>https://baijiahao.baidu.com/s?id=1834228106940206999</v>
      </c>
      <c r="I1009" s="3" t="s">
        <v>1485</v>
      </c>
      <c r="J1009" t="s">
        <v>16</v>
      </c>
    </row>
    <row r="1010" ht="23" customHeight="1" spans="1:10">
      <c r="A1010" s="2">
        <v>1009</v>
      </c>
      <c r="B1010" s="3" t="s">
        <v>1486</v>
      </c>
      <c r="C1010" s="2" t="s">
        <v>1487</v>
      </c>
      <c r="D1010" s="2" t="s">
        <v>34</v>
      </c>
      <c r="E1010" s="2" t="s">
        <v>328</v>
      </c>
      <c r="F1010" s="2" t="s">
        <v>13</v>
      </c>
      <c r="G1010" s="2" t="s">
        <v>21</v>
      </c>
      <c r="H1010" s="4" t="str">
        <f>HYPERLINK("https://kandianshare.html5.qq.com/v2/news/6560909436863646018","https://kandianshare.html5.qq.com/v2/news/6560909436863646018")</f>
        <v>https://kandianshare.html5.qq.com/v2/news/6560909436863646018</v>
      </c>
      <c r="I1010" s="3" t="s">
        <v>1488</v>
      </c>
      <c r="J1010" t="s">
        <v>16</v>
      </c>
    </row>
    <row r="1011" ht="23" customHeight="1" spans="1:10">
      <c r="A1011" s="2">
        <v>1010</v>
      </c>
      <c r="B1011" s="3" t="s">
        <v>1486</v>
      </c>
      <c r="C1011" s="2" t="s">
        <v>1487</v>
      </c>
      <c r="D1011" s="2" t="s">
        <v>35</v>
      </c>
      <c r="E1011" s="2" t="s">
        <v>328</v>
      </c>
      <c r="F1011" s="2" t="s">
        <v>13</v>
      </c>
      <c r="G1011" s="2" t="s">
        <v>21</v>
      </c>
      <c r="H1011" s="4" t="str">
        <f>HYPERLINK("https://new.qq.com/rain/a/20250606A09W9C00","https://new.qq.com/rain/a/20250606A09W9C00")</f>
        <v>https://new.qq.com/rain/a/20250606A09W9C00</v>
      </c>
      <c r="I1011" s="3" t="s">
        <v>1489</v>
      </c>
      <c r="J1011" t="s">
        <v>16</v>
      </c>
    </row>
    <row r="1012" ht="23" customHeight="1" spans="1:10">
      <c r="A1012" s="2">
        <v>1011</v>
      </c>
      <c r="B1012" s="3" t="s">
        <v>1486</v>
      </c>
      <c r="C1012" s="2" t="s">
        <v>1490</v>
      </c>
      <c r="D1012" s="2" t="s">
        <v>11</v>
      </c>
      <c r="E1012" s="2" t="s">
        <v>328</v>
      </c>
      <c r="F1012" s="2" t="s">
        <v>13</v>
      </c>
      <c r="G1012" s="2" t="s">
        <v>21</v>
      </c>
      <c r="H1012" s="4" t="str">
        <f>HYPERLINK("https://www.toutiao.com/article/7512838372126212643/","https://www.toutiao.com/article/7512838372126212643/")</f>
        <v>https://www.toutiao.com/article/7512838372126212643/</v>
      </c>
      <c r="I1012" s="3" t="s">
        <v>1491</v>
      </c>
      <c r="J1012" t="s">
        <v>16</v>
      </c>
    </row>
    <row r="1013" ht="23" customHeight="1" spans="1:10">
      <c r="A1013" s="2">
        <v>1012</v>
      </c>
      <c r="B1013" s="3" t="s">
        <v>1486</v>
      </c>
      <c r="C1013" s="2" t="s">
        <v>1492</v>
      </c>
      <c r="D1013" s="2" t="s">
        <v>41</v>
      </c>
      <c r="E1013" s="2" t="s">
        <v>20</v>
      </c>
      <c r="F1013" s="2" t="s">
        <v>13</v>
      </c>
      <c r="G1013" s="2" t="s">
        <v>21</v>
      </c>
      <c r="H1013" s="4" t="str">
        <f>HYPERLINK("https://baijiahao.baidu.com/s?id=1834188613576632436","https://baijiahao.baidu.com/s?id=1834188613576632436")</f>
        <v>https://baijiahao.baidu.com/s?id=1834188613576632436</v>
      </c>
      <c r="I1013" s="3" t="s">
        <v>1493</v>
      </c>
      <c r="J1013" t="s">
        <v>16</v>
      </c>
    </row>
    <row r="1014" ht="23" customHeight="1" spans="1:10">
      <c r="A1014" s="2">
        <v>1013</v>
      </c>
      <c r="B1014" s="3" t="s">
        <v>1486</v>
      </c>
      <c r="C1014" s="2" t="s">
        <v>1492</v>
      </c>
      <c r="D1014" s="2" t="s">
        <v>91</v>
      </c>
      <c r="E1014" s="2" t="s">
        <v>328</v>
      </c>
      <c r="F1014" s="2" t="s">
        <v>91</v>
      </c>
      <c r="G1014" s="2" t="s">
        <v>21</v>
      </c>
      <c r="H1014" s="4" t="str">
        <f>HYPERLINK("http://mp.weixin.qq.com/s?__biz=MjM5NTA5NzYyMA==&amp;mid=2655329288&amp;idx=1&amp;sn=a6bfd61542f34d41111a2308f7071055","http://mp.weixin.qq.com/s?__biz=MjM5NTA5NzYyMA==&amp;mid=2655329288&amp;idx=1&amp;sn=a6bfd61542f34d41111a2308f7071055")</f>
        <v>http://mp.weixin.qq.com/s?__biz=MjM5NTA5NzYyMA==&amp;mid=2655329288&amp;idx=1&amp;sn=a6bfd61542f34d41111a2308f7071055</v>
      </c>
      <c r="I1014" s="3" t="s">
        <v>1489</v>
      </c>
      <c r="J1014" t="s">
        <v>16</v>
      </c>
    </row>
    <row r="1015" ht="23" customHeight="1" spans="1:10">
      <c r="A1015" s="2">
        <v>1014</v>
      </c>
      <c r="B1015" s="3" t="s">
        <v>1486</v>
      </c>
      <c r="C1015" s="2" t="s">
        <v>1494</v>
      </c>
      <c r="D1015" s="2" t="s">
        <v>46</v>
      </c>
      <c r="E1015" s="2" t="s">
        <v>618</v>
      </c>
      <c r="F1015" s="2" t="s">
        <v>37</v>
      </c>
      <c r="G1015" s="2" t="s">
        <v>26</v>
      </c>
      <c r="H1015" s="4" t="str">
        <f>HYPERLINK("https://3g.k.sohu.com/t/n896496286?serialId=bd44c566ac31cbaa5fcbf418485bea9d&amp;showType=896496286","https://3g.k.sohu.com/t/n896496286?serialId=bd44c566ac31cbaa5fcbf418485bea9d&amp;showType=896496286")</f>
        <v>https://3g.k.sohu.com/t/n896496286?serialId=bd44c566ac31cbaa5fcbf418485bea9d&amp;showType=896496286</v>
      </c>
      <c r="I1015" s="3" t="s">
        <v>1495</v>
      </c>
      <c r="J1015" t="s">
        <v>16</v>
      </c>
    </row>
    <row r="1016" ht="23" customHeight="1" spans="1:10">
      <c r="A1016" s="2">
        <v>1015</v>
      </c>
      <c r="B1016" s="3" t="s">
        <v>1496</v>
      </c>
      <c r="C1016" s="2" t="s">
        <v>1497</v>
      </c>
      <c r="D1016" s="2" t="s">
        <v>334</v>
      </c>
      <c r="E1016" s="2" t="s">
        <v>334</v>
      </c>
      <c r="F1016" s="2" t="s">
        <v>37</v>
      </c>
      <c r="G1016" s="2" t="s">
        <v>26</v>
      </c>
      <c r="H1016" s="4" t="str">
        <f>HYPERLINK("https://j.021east.com/m/1749193561044810","https://j.021east.com/m/1749193561044810")</f>
        <v>https://j.021east.com/m/1749193561044810</v>
      </c>
      <c r="I1016" s="3" t="s">
        <v>1498</v>
      </c>
      <c r="J1016" t="s">
        <v>16</v>
      </c>
    </row>
    <row r="1017" ht="23" customHeight="1" spans="1:10">
      <c r="A1017" s="2">
        <v>1016</v>
      </c>
      <c r="B1017" s="3" t="s">
        <v>1496</v>
      </c>
      <c r="C1017" s="2" t="s">
        <v>1499</v>
      </c>
      <c r="D1017" s="2" t="s">
        <v>41</v>
      </c>
      <c r="E1017" s="2" t="s">
        <v>20</v>
      </c>
      <c r="F1017" s="2" t="s">
        <v>13</v>
      </c>
      <c r="G1017" s="2" t="s">
        <v>21</v>
      </c>
      <c r="H1017" s="4" t="str">
        <f>HYPERLINK("https://mbd.baidu.com/newspage/data/dtlandingwise?nid=dt_9285014889186002613","https://mbd.baidu.com/newspage/data/dtlandingwise?nid=dt_9285014889186002613")</f>
        <v>https://mbd.baidu.com/newspage/data/dtlandingwise?nid=dt_9285014889186002613</v>
      </c>
      <c r="I1017" s="3" t="s">
        <v>1498</v>
      </c>
      <c r="J1017" t="s">
        <v>16</v>
      </c>
    </row>
    <row r="1018" ht="23" customHeight="1" spans="1:10">
      <c r="A1018" s="2">
        <v>1017</v>
      </c>
      <c r="B1018" s="3" t="s">
        <v>1496</v>
      </c>
      <c r="C1018" s="2" t="s">
        <v>1500</v>
      </c>
      <c r="D1018" s="2" t="s">
        <v>41</v>
      </c>
      <c r="E1018" s="2" t="s">
        <v>20</v>
      </c>
      <c r="F1018" s="2" t="s">
        <v>13</v>
      </c>
      <c r="G1018" s="2" t="s">
        <v>21</v>
      </c>
      <c r="H1018" s="4" t="str">
        <f>HYPERLINK("https://baijiahao.baidu.com/s?id=1834150787980212922","https://baijiahao.baidu.com/s?id=1834150787980212922")</f>
        <v>https://baijiahao.baidu.com/s?id=1834150787980212922</v>
      </c>
      <c r="I1018" s="3" t="s">
        <v>1501</v>
      </c>
      <c r="J1018" t="s">
        <v>16</v>
      </c>
    </row>
    <row r="1019" ht="23" customHeight="1" spans="1:10">
      <c r="A1019" s="2">
        <v>1018</v>
      </c>
      <c r="B1019" s="3" t="s">
        <v>1502</v>
      </c>
      <c r="C1019" s="2" t="s">
        <v>1503</v>
      </c>
      <c r="D1019" s="2" t="s">
        <v>19</v>
      </c>
      <c r="E1019" s="2" t="s">
        <v>71</v>
      </c>
      <c r="F1019" s="2" t="s">
        <v>37</v>
      </c>
      <c r="G1019" s="2" t="s">
        <v>21</v>
      </c>
      <c r="H1019" s="4" t="str">
        <f>HYPERLINK("https://c.m.163.com/news/a/K1BNAFOL053469KO.html","https://c.m.163.com/news/a/K1BNAFOL053469KO.html")</f>
        <v>https://c.m.163.com/news/a/K1BNAFOL053469KO.html</v>
      </c>
      <c r="I1019" s="3" t="s">
        <v>1504</v>
      </c>
      <c r="J1019" t="s">
        <v>16</v>
      </c>
    </row>
    <row r="1020" ht="23" customHeight="1" spans="1:10">
      <c r="A1020" s="2">
        <v>1019</v>
      </c>
      <c r="B1020" s="3" t="s">
        <v>1502</v>
      </c>
      <c r="C1020" s="2" t="s">
        <v>1505</v>
      </c>
      <c r="D1020" s="2" t="s">
        <v>71</v>
      </c>
      <c r="E1020" s="2" t="s">
        <v>1506</v>
      </c>
      <c r="F1020" s="2" t="s">
        <v>13</v>
      </c>
      <c r="G1020" s="2" t="s">
        <v>21</v>
      </c>
      <c r="H1020" s="4" t="str">
        <f>HYPERLINK("https://j.eastday.com/p/1749160143046710","https://j.eastday.com/p/1749160143046710")</f>
        <v>https://j.eastday.com/p/1749160143046710</v>
      </c>
      <c r="I1020" s="3" t="s">
        <v>1504</v>
      </c>
      <c r="J1020" t="s">
        <v>16</v>
      </c>
    </row>
    <row r="1021" ht="23" customHeight="1" spans="1:10">
      <c r="A1021" s="2">
        <v>1020</v>
      </c>
      <c r="B1021" s="3" t="s">
        <v>1502</v>
      </c>
      <c r="C1021" s="2" t="s">
        <v>1507</v>
      </c>
      <c r="D1021" s="2" t="s">
        <v>46</v>
      </c>
      <c r="E1021" s="2" t="s">
        <v>71</v>
      </c>
      <c r="F1021" s="2" t="s">
        <v>37</v>
      </c>
      <c r="G1021" s="2" t="s">
        <v>21</v>
      </c>
      <c r="H1021" s="4" t="str">
        <f>HYPERLINK("https://3g.k.sohu.com/t/n896296355?serialId=c83745dd1bda12cc81bd9905206aa1f0&amp;showType=896296355","https://3g.k.sohu.com/t/n896296355?serialId=c83745dd1bda12cc81bd9905206aa1f0&amp;showType=896296355")</f>
        <v>https://3g.k.sohu.com/t/n896296355?serialId=c83745dd1bda12cc81bd9905206aa1f0&amp;showType=896296355</v>
      </c>
      <c r="I1021" s="3" t="s">
        <v>1508</v>
      </c>
      <c r="J1021" t="s">
        <v>16</v>
      </c>
    </row>
    <row r="1022" ht="23" customHeight="1" spans="1:10">
      <c r="A1022" s="2">
        <v>1021</v>
      </c>
      <c r="B1022" s="3" t="s">
        <v>1502</v>
      </c>
      <c r="C1022" s="2" t="s">
        <v>1507</v>
      </c>
      <c r="D1022" s="2" t="s">
        <v>41</v>
      </c>
      <c r="E1022" s="2" t="s">
        <v>1509</v>
      </c>
      <c r="F1022" s="2" t="s">
        <v>13</v>
      </c>
      <c r="G1022" s="2" t="s">
        <v>26</v>
      </c>
      <c r="H1022" s="4" t="str">
        <f>HYPERLINK("https://baijiahao.baidu.com/s?id=1834127587859999891","https://baijiahao.baidu.com/s?id=1834127587859999891")</f>
        <v>https://baijiahao.baidu.com/s?id=1834127587859999891</v>
      </c>
      <c r="I1022" s="3" t="s">
        <v>1504</v>
      </c>
      <c r="J1022" t="s">
        <v>16</v>
      </c>
    </row>
    <row r="1023" ht="23" customHeight="1" spans="1:10">
      <c r="A1023" s="2">
        <v>1022</v>
      </c>
      <c r="B1023" s="3" t="s">
        <v>1502</v>
      </c>
      <c r="C1023" s="2" t="s">
        <v>1507</v>
      </c>
      <c r="D1023" s="2" t="s">
        <v>41</v>
      </c>
      <c r="E1023" s="2" t="s">
        <v>71</v>
      </c>
      <c r="F1023" s="2" t="s">
        <v>13</v>
      </c>
      <c r="G1023" s="2" t="s">
        <v>21</v>
      </c>
      <c r="H1023" s="4" t="str">
        <f>HYPERLINK("https://baijiahao.baidu.com/s?id=1834127580810251508","https://baijiahao.baidu.com/s?id=1834127580810251508")</f>
        <v>https://baijiahao.baidu.com/s?id=1834127580810251508</v>
      </c>
      <c r="I1023" s="3" t="s">
        <v>1504</v>
      </c>
      <c r="J1023" t="s">
        <v>16</v>
      </c>
    </row>
    <row r="1024" ht="23" customHeight="1" spans="1:10">
      <c r="A1024" s="2">
        <v>1023</v>
      </c>
      <c r="B1024" s="3" t="s">
        <v>1502</v>
      </c>
      <c r="C1024" s="2" t="s">
        <v>1507</v>
      </c>
      <c r="D1024" s="2" t="s">
        <v>334</v>
      </c>
      <c r="E1024" s="2" t="s">
        <v>1506</v>
      </c>
      <c r="F1024" s="2" t="s">
        <v>37</v>
      </c>
      <c r="G1024" s="2" t="s">
        <v>26</v>
      </c>
      <c r="H1024" s="4" t="str">
        <f>HYPERLINK("https://j.021east.com/m/1749160143046710","https://j.021east.com/m/1749160143046710")</f>
        <v>https://j.021east.com/m/1749160143046710</v>
      </c>
      <c r="I1024" s="3" t="s">
        <v>1504</v>
      </c>
      <c r="J1024" t="s">
        <v>16</v>
      </c>
    </row>
    <row r="1025" ht="23" customHeight="1" spans="1:10">
      <c r="A1025" s="2">
        <v>1024</v>
      </c>
      <c r="B1025" s="3" t="s">
        <v>1502</v>
      </c>
      <c r="C1025" s="2" t="s">
        <v>1507</v>
      </c>
      <c r="D1025" s="2" t="s">
        <v>46</v>
      </c>
      <c r="E1025" s="2" t="s">
        <v>71</v>
      </c>
      <c r="F1025" s="2" t="s">
        <v>13</v>
      </c>
      <c r="G1025" s="2" t="s">
        <v>21</v>
      </c>
      <c r="H1025" s="4" t="str">
        <f>HYPERLINK("https://www.sohu.com/a/901827036_120823584","https://www.sohu.com/a/901827036_120823584")</f>
        <v>https://www.sohu.com/a/901827036_120823584</v>
      </c>
      <c r="I1025" s="3" t="s">
        <v>1504</v>
      </c>
      <c r="J1025" t="s">
        <v>16</v>
      </c>
    </row>
    <row r="1026" ht="23" customHeight="1" spans="1:10">
      <c r="A1026" s="2">
        <v>1025</v>
      </c>
      <c r="B1026" s="3" t="s">
        <v>1510</v>
      </c>
      <c r="C1026" s="2" t="s">
        <v>1511</v>
      </c>
      <c r="D1026" s="2" t="s">
        <v>428</v>
      </c>
      <c r="E1026" s="2" t="s">
        <v>1512</v>
      </c>
      <c r="F1026" s="2" t="s">
        <v>13</v>
      </c>
      <c r="G1026" s="2" t="s">
        <v>14</v>
      </c>
      <c r="H1026" s="4" t="str">
        <f>HYPERLINK("https://article.xuexi.cn/articles/index.html?art_id=5015135796860921705&amp;cdn=https://region-shanghai-resource","https://article.xuexi.cn/articles/index.html?art_id=5015135796860921705&amp;cdn=https://region-shanghai-resource")</f>
        <v>https://article.xuexi.cn/articles/index.html?art_id=5015135796860921705&amp;cdn=https://region-shanghai-resource</v>
      </c>
      <c r="I1026" s="3" t="s">
        <v>1513</v>
      </c>
      <c r="J1026" t="s">
        <v>16</v>
      </c>
    </row>
    <row r="1027" ht="23" customHeight="1" spans="1:10">
      <c r="A1027" s="2">
        <v>1026</v>
      </c>
      <c r="B1027" s="3" t="s">
        <v>1514</v>
      </c>
      <c r="C1027" s="2" t="s">
        <v>1515</v>
      </c>
      <c r="D1027" s="2" t="s">
        <v>19</v>
      </c>
      <c r="E1027" s="2" t="s">
        <v>20</v>
      </c>
      <c r="F1027" s="2" t="s">
        <v>37</v>
      </c>
      <c r="G1027" s="2" t="s">
        <v>21</v>
      </c>
      <c r="H1027" s="4" t="str">
        <f>HYPERLINK("https://c.m.163.com/news/a/K17I7FJ3055040N3.html","https://c.m.163.com/news/a/K17I7FJ3055040N3.html")</f>
        <v>https://c.m.163.com/news/a/K17I7FJ3055040N3.html</v>
      </c>
      <c r="I1027" s="3" t="s">
        <v>1516</v>
      </c>
      <c r="J1027" t="s">
        <v>16</v>
      </c>
    </row>
    <row r="1028" ht="23" customHeight="1" spans="1:10">
      <c r="A1028" s="2">
        <v>1027</v>
      </c>
      <c r="B1028" s="3" t="s">
        <v>1514</v>
      </c>
      <c r="C1028" s="2" t="s">
        <v>1517</v>
      </c>
      <c r="D1028" s="2" t="s">
        <v>11</v>
      </c>
      <c r="E1028" s="2" t="s">
        <v>20</v>
      </c>
      <c r="F1028" s="2" t="s">
        <v>13</v>
      </c>
      <c r="G1028" s="2" t="s">
        <v>21</v>
      </c>
      <c r="H1028" s="4" t="str">
        <f>HYPERLINK("https://www.toutiao.com/article/7511988537911263756/","https://www.toutiao.com/article/7511988537911263756/")</f>
        <v>https://www.toutiao.com/article/7511988537911263756/</v>
      </c>
      <c r="I1028" s="3" t="s">
        <v>1518</v>
      </c>
      <c r="J1028" t="s">
        <v>16</v>
      </c>
    </row>
    <row r="1029" ht="23" customHeight="1" spans="1:10">
      <c r="A1029" s="2">
        <v>1028</v>
      </c>
      <c r="B1029" s="3" t="s">
        <v>1514</v>
      </c>
      <c r="C1029" s="2" t="s">
        <v>1519</v>
      </c>
      <c r="D1029" s="2" t="s">
        <v>41</v>
      </c>
      <c r="E1029" s="2" t="s">
        <v>20</v>
      </c>
      <c r="F1029" s="2" t="s">
        <v>13</v>
      </c>
      <c r="G1029" s="2" t="s">
        <v>21</v>
      </c>
      <c r="H1029" s="4" t="str">
        <f>HYPERLINK("https://mbd.baidu.com/newspage/data/dtlandingwise?nid=dt_9346675655816455477","https://mbd.baidu.com/newspage/data/dtlandingwise?nid=dt_9346675655816455477")</f>
        <v>https://mbd.baidu.com/newspage/data/dtlandingwise?nid=dt_9346675655816455477</v>
      </c>
      <c r="I1029" s="3" t="s">
        <v>1520</v>
      </c>
      <c r="J1029" t="s">
        <v>16</v>
      </c>
    </row>
    <row r="1030" ht="23" customHeight="1" spans="1:10">
      <c r="A1030" s="2">
        <v>1029</v>
      </c>
      <c r="B1030" s="3" t="s">
        <v>1514</v>
      </c>
      <c r="C1030" s="2" t="s">
        <v>1521</v>
      </c>
      <c r="D1030" s="2" t="s">
        <v>34</v>
      </c>
      <c r="E1030" s="2" t="s">
        <v>20</v>
      </c>
      <c r="F1030" s="2" t="s">
        <v>13</v>
      </c>
      <c r="G1030" s="2" t="s">
        <v>21</v>
      </c>
      <c r="H1030" s="4" t="str">
        <f>HYPERLINK("https://kandianshare.html5.qq.com/v2/news/3975842834454038850","https://kandianshare.html5.qq.com/v2/news/3975842834454038850")</f>
        <v>https://kandianshare.html5.qq.com/v2/news/3975842834454038850</v>
      </c>
      <c r="I1030" s="3" t="s">
        <v>1516</v>
      </c>
      <c r="J1030" t="s">
        <v>16</v>
      </c>
    </row>
    <row r="1031" ht="23" customHeight="1" spans="1:10">
      <c r="A1031" s="2">
        <v>1030</v>
      </c>
      <c r="B1031" s="3" t="s">
        <v>1514</v>
      </c>
      <c r="C1031" s="2" t="s">
        <v>1521</v>
      </c>
      <c r="D1031" s="2" t="s">
        <v>35</v>
      </c>
      <c r="E1031" s="2" t="s">
        <v>20</v>
      </c>
      <c r="F1031" s="2" t="s">
        <v>13</v>
      </c>
      <c r="G1031" s="2" t="s">
        <v>21</v>
      </c>
      <c r="H1031" s="4" t="str">
        <f>HYPERLINK("https://new.qq.com/rain/a/20250604A05AYY00","https://new.qq.com/rain/a/20250604A05AYY00")</f>
        <v>https://new.qq.com/rain/a/20250604A05AYY00</v>
      </c>
      <c r="I1031" s="3" t="s">
        <v>1516</v>
      </c>
      <c r="J1031" t="s">
        <v>16</v>
      </c>
    </row>
    <row r="1032" ht="23" customHeight="1" spans="1:10">
      <c r="A1032" s="2">
        <v>1031</v>
      </c>
      <c r="B1032" s="3" t="s">
        <v>1514</v>
      </c>
      <c r="C1032" s="2" t="s">
        <v>1522</v>
      </c>
      <c r="D1032" s="2" t="s">
        <v>41</v>
      </c>
      <c r="E1032" s="2" t="s">
        <v>20</v>
      </c>
      <c r="F1032" s="2" t="s">
        <v>13</v>
      </c>
      <c r="G1032" s="2" t="s">
        <v>21</v>
      </c>
      <c r="H1032" s="4" t="str">
        <f>HYPERLINK("https://baijiahao.baidu.com/s?id=1833981264351006318","https://baijiahao.baidu.com/s?id=1833981264351006318")</f>
        <v>https://baijiahao.baidu.com/s?id=1833981264351006318</v>
      </c>
      <c r="I1032" s="3" t="s">
        <v>1518</v>
      </c>
      <c r="J1032" t="s">
        <v>16</v>
      </c>
    </row>
    <row r="1033" ht="23" customHeight="1" spans="1:10">
      <c r="A1033" s="2">
        <v>1032</v>
      </c>
      <c r="B1033" s="3" t="s">
        <v>1514</v>
      </c>
      <c r="C1033" s="2" t="s">
        <v>1523</v>
      </c>
      <c r="D1033" s="2" t="s">
        <v>43</v>
      </c>
      <c r="E1033" s="2" t="s">
        <v>1524</v>
      </c>
      <c r="F1033" s="2" t="s">
        <v>13</v>
      </c>
      <c r="G1033" s="2" t="s">
        <v>21</v>
      </c>
      <c r="H1033" s="4" t="str">
        <f>HYPERLINK("https://www.jfdaily.com.cn/staticsg/res/html/web/newsDetail.html?id=922488","https://www.jfdaily.com.cn/staticsg/res/html/web/newsDetail.html?id=922488")</f>
        <v>https://www.jfdaily.com.cn/staticsg/res/html/web/newsDetail.html?id=922488</v>
      </c>
      <c r="I1033" s="3" t="s">
        <v>1516</v>
      </c>
      <c r="J1033" t="s">
        <v>16</v>
      </c>
    </row>
    <row r="1034" ht="23" customHeight="1" spans="1:10">
      <c r="A1034" s="2">
        <v>1033</v>
      </c>
      <c r="B1034" s="3" t="s">
        <v>1514</v>
      </c>
      <c r="C1034" s="2" t="s">
        <v>1525</v>
      </c>
      <c r="D1034" s="2" t="s">
        <v>43</v>
      </c>
      <c r="E1034" s="2" t="s">
        <v>1524</v>
      </c>
      <c r="F1034" s="2" t="s">
        <v>13</v>
      </c>
      <c r="G1034" s="2" t="s">
        <v>21</v>
      </c>
      <c r="H1034" s="4" t="str">
        <f>HYPERLINK("https://www.jfdaily.com/staticsg/res/html/web/newsDetail.html?id=922488","https://www.jfdaily.com/staticsg/res/html/web/newsDetail.html?id=922488")</f>
        <v>https://www.jfdaily.com/staticsg/res/html/web/newsDetail.html?id=922488</v>
      </c>
      <c r="I1034" s="3" t="s">
        <v>1516</v>
      </c>
      <c r="J1034" t="s">
        <v>16</v>
      </c>
    </row>
    <row r="1035" ht="23" customHeight="1" spans="1:10">
      <c r="A1035" s="2">
        <v>1034</v>
      </c>
      <c r="B1035" s="3" t="s">
        <v>1514</v>
      </c>
      <c r="C1035" s="2" t="s">
        <v>1525</v>
      </c>
      <c r="D1035" s="2" t="s">
        <v>20</v>
      </c>
      <c r="E1035" s="2" t="s">
        <v>1524</v>
      </c>
      <c r="F1035" s="2" t="s">
        <v>37</v>
      </c>
      <c r="G1035" s="2" t="s">
        <v>21</v>
      </c>
      <c r="H1035" s="4" t="str">
        <f>HYPERLINK("https://services.shobserver.com/news/viewNewsDetail?id=922488","https://services.shobserver.com/news/viewNewsDetail?id=922488")</f>
        <v>https://services.shobserver.com/news/viewNewsDetail?id=922488</v>
      </c>
      <c r="I1035" s="3" t="s">
        <v>1516</v>
      </c>
      <c r="J1035" t="s">
        <v>16</v>
      </c>
    </row>
    <row r="1036" ht="23" customHeight="1" spans="1:10">
      <c r="A1036" s="2">
        <v>1035</v>
      </c>
      <c r="B1036" s="3" t="s">
        <v>1526</v>
      </c>
      <c r="C1036" s="2" t="s">
        <v>1527</v>
      </c>
      <c r="D1036" s="2" t="s">
        <v>215</v>
      </c>
      <c r="E1036" s="2" t="s">
        <v>215</v>
      </c>
      <c r="F1036" s="2" t="s">
        <v>13</v>
      </c>
      <c r="G1036" s="2" t="s">
        <v>21</v>
      </c>
      <c r="H1036" s="4" t="str">
        <f>HYPERLINK("http://edu.eastday.com/node2/jypd/n5/20250605/u1ai65292.html","http://edu.eastday.com/node2/jypd/n5/20250605/u1ai65292.html")</f>
        <v>http://edu.eastday.com/node2/jypd/n5/20250605/u1ai65292.html</v>
      </c>
      <c r="I1036" s="3" t="s">
        <v>1528</v>
      </c>
      <c r="J1036" t="s">
        <v>16</v>
      </c>
    </row>
    <row r="1037" ht="23" customHeight="1" spans="1:10">
      <c r="A1037" s="2">
        <v>1036</v>
      </c>
      <c r="B1037" s="3" t="s">
        <v>1526</v>
      </c>
      <c r="C1037" s="2" t="s">
        <v>1529</v>
      </c>
      <c r="D1037" s="2" t="s">
        <v>46</v>
      </c>
      <c r="E1037" s="2" t="s">
        <v>71</v>
      </c>
      <c r="F1037" s="2" t="s">
        <v>37</v>
      </c>
      <c r="G1037" s="2" t="s">
        <v>21</v>
      </c>
      <c r="H1037" s="4" t="str">
        <f>HYPERLINK("https://3g.k.sohu.com/t/n896133142?serialId=88e3095c5f317c907c1d18856797a40c&amp;showType=896133142","https://3g.k.sohu.com/t/n896133142?serialId=88e3095c5f317c907c1d18856797a40c&amp;showType=896133142")</f>
        <v>https://3g.k.sohu.com/t/n896133142?serialId=88e3095c5f317c907c1d18856797a40c&amp;showType=896133142</v>
      </c>
      <c r="I1037" s="3" t="s">
        <v>1528</v>
      </c>
      <c r="J1037" t="s">
        <v>16</v>
      </c>
    </row>
    <row r="1038" ht="23" customHeight="1" spans="1:10">
      <c r="A1038" s="2">
        <v>1037</v>
      </c>
      <c r="B1038" s="3" t="s">
        <v>1526</v>
      </c>
      <c r="C1038" s="2" t="s">
        <v>1529</v>
      </c>
      <c r="D1038" s="2" t="s">
        <v>46</v>
      </c>
      <c r="E1038" s="2" t="s">
        <v>71</v>
      </c>
      <c r="F1038" s="2" t="s">
        <v>13</v>
      </c>
      <c r="G1038" s="2" t="s">
        <v>21</v>
      </c>
      <c r="H1038" s="4" t="str">
        <f>HYPERLINK("https://www.sohu.com/a/901653899_120823584","https://www.sohu.com/a/901653899_120823584")</f>
        <v>https://www.sohu.com/a/901653899_120823584</v>
      </c>
      <c r="I1038" s="3" t="s">
        <v>1528</v>
      </c>
      <c r="J1038" t="s">
        <v>16</v>
      </c>
    </row>
    <row r="1039" ht="23" customHeight="1" spans="1:10">
      <c r="A1039" s="2">
        <v>1038</v>
      </c>
      <c r="B1039" s="3" t="s">
        <v>1526</v>
      </c>
      <c r="C1039" s="2" t="s">
        <v>1529</v>
      </c>
      <c r="D1039" s="2" t="s">
        <v>334</v>
      </c>
      <c r="E1039" s="2" t="s">
        <v>334</v>
      </c>
      <c r="F1039" s="2" t="s">
        <v>37</v>
      </c>
      <c r="G1039" s="2" t="s">
        <v>26</v>
      </c>
      <c r="H1039" s="4" t="str">
        <f>HYPERLINK("https://j.021east.com/m/1749105396043780","https://j.021east.com/m/1749105396043780")</f>
        <v>https://j.021east.com/m/1749105396043780</v>
      </c>
      <c r="I1039" s="3" t="s">
        <v>1528</v>
      </c>
      <c r="J1039" t="s">
        <v>16</v>
      </c>
    </row>
    <row r="1040" ht="23" customHeight="1" spans="1:10">
      <c r="A1040" s="2">
        <v>1039</v>
      </c>
      <c r="B1040" s="3" t="s">
        <v>1530</v>
      </c>
      <c r="C1040" s="2" t="s">
        <v>1531</v>
      </c>
      <c r="D1040" s="2" t="s">
        <v>1251</v>
      </c>
      <c r="E1040" s="2" t="s">
        <v>1252</v>
      </c>
      <c r="F1040" s="2" t="s">
        <v>37</v>
      </c>
      <c r="G1040" s="2" t="s">
        <v>26</v>
      </c>
      <c r="H1040" s="4" t="str">
        <f>HYPERLINK("http://m.uczzd.cn/ucnews/news?aid=13870238663982524120","http://m.uczzd.cn/ucnews/news?aid=13870238663982524120")</f>
        <v>http://m.uczzd.cn/ucnews/news?aid=13870238663982524120</v>
      </c>
      <c r="I1040" s="3" t="s">
        <v>1532</v>
      </c>
      <c r="J1040" t="s">
        <v>16</v>
      </c>
    </row>
    <row r="1041" ht="23" customHeight="1" spans="1:10">
      <c r="A1041" s="2">
        <v>1040</v>
      </c>
      <c r="B1041" s="3" t="s">
        <v>1530</v>
      </c>
      <c r="C1041" s="2" t="s">
        <v>1533</v>
      </c>
      <c r="D1041" s="2" t="s">
        <v>41</v>
      </c>
      <c r="E1041" s="2" t="s">
        <v>716</v>
      </c>
      <c r="F1041" s="2" t="s">
        <v>13</v>
      </c>
      <c r="G1041" s="2" t="s">
        <v>26</v>
      </c>
      <c r="H1041" s="4" t="str">
        <f>HYPERLINK("https://baijiahao.baidu.com/s?id=1833873408124993431","https://baijiahao.baidu.com/s?id=1833873408124993431")</f>
        <v>https://baijiahao.baidu.com/s?id=1833873408124993431</v>
      </c>
      <c r="I1041" s="3" t="s">
        <v>1532</v>
      </c>
      <c r="J1041" t="s">
        <v>16</v>
      </c>
    </row>
    <row r="1042" ht="23" customHeight="1" spans="1:10">
      <c r="A1042" s="2">
        <v>1041</v>
      </c>
      <c r="B1042" s="3" t="s">
        <v>1534</v>
      </c>
      <c r="C1042" s="2" t="s">
        <v>1535</v>
      </c>
      <c r="D1042" s="2" t="s">
        <v>91</v>
      </c>
      <c r="E1042" s="2" t="s">
        <v>1536</v>
      </c>
      <c r="F1042" s="2" t="s">
        <v>91</v>
      </c>
      <c r="G1042" s="2" t="s">
        <v>21</v>
      </c>
      <c r="H1042" s="4" t="str">
        <f>HYPERLINK("http://mp.weixin.qq.com/s?__biz=MzA4ODk3NTcxMQ==&amp;mid=2650314848&amp;idx=1&amp;sn=cd8a713a428a4a3bfeaaeb09d464a41a","http://mp.weixin.qq.com/s?__biz=MzA4ODk3NTcxMQ==&amp;mid=2650314848&amp;idx=1&amp;sn=cd8a713a428a4a3bfeaaeb09d464a41a")</f>
        <v>http://mp.weixin.qq.com/s?__biz=MzA4ODk3NTcxMQ==&amp;mid=2650314848&amp;idx=1&amp;sn=cd8a713a428a4a3bfeaaeb09d464a41a</v>
      </c>
      <c r="I1042" s="3" t="s">
        <v>1537</v>
      </c>
      <c r="J1042" t="s">
        <v>16</v>
      </c>
    </row>
    <row r="1043" ht="23" customHeight="1" spans="1:10">
      <c r="A1043" s="2">
        <v>1042</v>
      </c>
      <c r="B1043" s="3" t="s">
        <v>1538</v>
      </c>
      <c r="C1043" s="2" t="s">
        <v>1539</v>
      </c>
      <c r="D1043" s="2" t="s">
        <v>19</v>
      </c>
      <c r="E1043" s="2" t="s">
        <v>1399</v>
      </c>
      <c r="F1043" s="2" t="s">
        <v>37</v>
      </c>
      <c r="G1043" s="2" t="s">
        <v>14</v>
      </c>
      <c r="H1043" s="4" t="str">
        <f>HYPERLINK("https://c.m.163.com/news/a/K129NGSG0550TYQ0.html","https://c.m.163.com/news/a/K129NGSG0550TYQ0.html")</f>
        <v>https://c.m.163.com/news/a/K129NGSG0550TYQ0.html</v>
      </c>
      <c r="I1043" s="3" t="s">
        <v>1540</v>
      </c>
      <c r="J1043" t="s">
        <v>16</v>
      </c>
    </row>
    <row r="1044" ht="23" customHeight="1" spans="1:10">
      <c r="A1044" s="2">
        <v>1043</v>
      </c>
      <c r="B1044" s="3" t="s">
        <v>1538</v>
      </c>
      <c r="C1044" s="2" t="s">
        <v>1541</v>
      </c>
      <c r="D1044" s="2" t="s">
        <v>46</v>
      </c>
      <c r="E1044" s="2" t="s">
        <v>1399</v>
      </c>
      <c r="F1044" s="2" t="s">
        <v>13</v>
      </c>
      <c r="G1044" s="2" t="s">
        <v>14</v>
      </c>
      <c r="H1044" s="4" t="str">
        <f>HYPERLINK("https://www.sohu.com/a/900823069_257321","https://www.sohu.com/a/900823069_257321")</f>
        <v>https://www.sohu.com/a/900823069_257321</v>
      </c>
      <c r="I1044" s="3" t="s">
        <v>1540</v>
      </c>
      <c r="J1044" t="s">
        <v>16</v>
      </c>
    </row>
    <row r="1045" ht="23" customHeight="1" spans="1:10">
      <c r="A1045" s="2">
        <v>1044</v>
      </c>
      <c r="B1045" s="3" t="s">
        <v>1538</v>
      </c>
      <c r="C1045" s="2" t="s">
        <v>1541</v>
      </c>
      <c r="D1045" s="2" t="s">
        <v>46</v>
      </c>
      <c r="E1045" s="2" t="s">
        <v>1399</v>
      </c>
      <c r="F1045" s="2" t="s">
        <v>37</v>
      </c>
      <c r="G1045" s="2" t="s">
        <v>14</v>
      </c>
      <c r="H1045" s="4" t="str">
        <f>HYPERLINK("https://3g.k.sohu.com/t/n895183280?serialId=90a984cc9d10d24791994bc1e9c75a61&amp;showType=895183280","https://3g.k.sohu.com/t/n895183280?serialId=90a984cc9d10d24791994bc1e9c75a61&amp;showType=895183280")</f>
        <v>https://3g.k.sohu.com/t/n895183280?serialId=90a984cc9d10d24791994bc1e9c75a61&amp;showType=895183280</v>
      </c>
      <c r="I1045" s="3" t="s">
        <v>1540</v>
      </c>
      <c r="J1045" t="s">
        <v>16</v>
      </c>
    </row>
    <row r="1046" ht="23" customHeight="1" spans="1:10">
      <c r="A1046" s="2">
        <v>1045</v>
      </c>
      <c r="B1046" s="3" t="s">
        <v>1538</v>
      </c>
      <c r="C1046" s="2" t="s">
        <v>1542</v>
      </c>
      <c r="D1046" s="2" t="s">
        <v>34</v>
      </c>
      <c r="E1046" s="2" t="s">
        <v>1399</v>
      </c>
      <c r="F1046" s="2" t="s">
        <v>13</v>
      </c>
      <c r="G1046" s="2" t="s">
        <v>14</v>
      </c>
      <c r="H1046" s="4" t="str">
        <f>HYPERLINK("https://kandianshare.html5.qq.com/v2/news/6614951847510466882","https://kandianshare.html5.qq.com/v2/news/6614951847510466882")</f>
        <v>https://kandianshare.html5.qq.com/v2/news/6614951847510466882</v>
      </c>
      <c r="I1046" s="3" t="s">
        <v>1540</v>
      </c>
      <c r="J1046" t="s">
        <v>16</v>
      </c>
    </row>
    <row r="1047" ht="23" customHeight="1" spans="1:10">
      <c r="A1047" s="2">
        <v>1046</v>
      </c>
      <c r="B1047" s="3" t="s">
        <v>1538</v>
      </c>
      <c r="C1047" s="2" t="s">
        <v>1542</v>
      </c>
      <c r="D1047" s="2" t="s">
        <v>35</v>
      </c>
      <c r="E1047" s="2" t="s">
        <v>1399</v>
      </c>
      <c r="F1047" s="2" t="s">
        <v>13</v>
      </c>
      <c r="G1047" s="2" t="s">
        <v>14</v>
      </c>
      <c r="H1047" s="4" t="str">
        <f>HYPERLINK("https://new.qq.com/rain/a/20250602A04EB200","https://new.qq.com/rain/a/20250602A04EB200")</f>
        <v>https://new.qq.com/rain/a/20250602A04EB200</v>
      </c>
      <c r="I1047" s="3" t="s">
        <v>1540</v>
      </c>
      <c r="J1047" t="s">
        <v>16</v>
      </c>
    </row>
    <row r="1048" ht="23" customHeight="1" spans="1:10">
      <c r="A1048" s="2">
        <v>1047</v>
      </c>
      <c r="B1048" s="3" t="s">
        <v>1538</v>
      </c>
      <c r="C1048" s="2" t="s">
        <v>1543</v>
      </c>
      <c r="D1048" s="2" t="s">
        <v>1399</v>
      </c>
      <c r="E1048" s="2" t="s">
        <v>1399</v>
      </c>
      <c r="F1048" s="2" t="s">
        <v>13</v>
      </c>
      <c r="G1048" s="2" t="s">
        <v>14</v>
      </c>
      <c r="H1048" s="4" t="str">
        <f>HYPERLINK("https://www.workercn.cn/c/2025-06-02/8534053.shtml","https://www.workercn.cn/c/2025-06-02/8534053.shtml")</f>
        <v>https://www.workercn.cn/c/2025-06-02/8534053.shtml</v>
      </c>
      <c r="I1048" s="3" t="s">
        <v>1540</v>
      </c>
      <c r="J1048" t="s">
        <v>16</v>
      </c>
    </row>
    <row r="1049" ht="23" customHeight="1" spans="1:10">
      <c r="A1049" s="2">
        <v>1048</v>
      </c>
      <c r="B1049" s="3" t="s">
        <v>1544</v>
      </c>
      <c r="C1049" s="2" t="s">
        <v>1545</v>
      </c>
      <c r="D1049" s="2" t="s">
        <v>1546</v>
      </c>
      <c r="E1049" s="2" t="s">
        <v>1546</v>
      </c>
      <c r="F1049" s="2" t="s">
        <v>37</v>
      </c>
      <c r="G1049" s="2" t="s">
        <v>21</v>
      </c>
      <c r="H1049" s="4" t="str">
        <f>HYPERLINK("https://h5.jp.cjn.cn/#/h5/news?informationId=4750494","https://h5.jp.cjn.cn/#/h5/news?informationId=4750494")</f>
        <v>https://h5.jp.cjn.cn/#/h5/news?informationId=4750494</v>
      </c>
      <c r="I1049" s="3" t="s">
        <v>1547</v>
      </c>
      <c r="J1049" t="s">
        <v>16</v>
      </c>
    </row>
    <row r="1050" ht="23" customHeight="1" spans="1:10">
      <c r="A1050" s="2">
        <v>1049</v>
      </c>
      <c r="B1050" s="3" t="s">
        <v>1544</v>
      </c>
      <c r="C1050" s="2" t="s">
        <v>1548</v>
      </c>
      <c r="D1050" s="2" t="s">
        <v>1549</v>
      </c>
      <c r="E1050" s="2" t="s">
        <v>1550</v>
      </c>
      <c r="F1050" s="2" t="s">
        <v>13</v>
      </c>
      <c r="G1050" s="2" t="s">
        <v>26</v>
      </c>
      <c r="H1050" s="4" t="str">
        <f>HYPERLINK("http://cjtt.cjn.cn/#/cjttArticleDetail?informationId=4750494&amp;sourceType=0","http://cjtt.cjn.cn/#/cjttArticleDetail?informationId=4750494&amp;sourceType=0")</f>
        <v>http://cjtt.cjn.cn/#/cjttArticleDetail?informationId=4750494&amp;sourceType=0</v>
      </c>
      <c r="I1050" s="3" t="s">
        <v>1551</v>
      </c>
      <c r="J1050" t="s">
        <v>16</v>
      </c>
    </row>
    <row r="1051" ht="23" customHeight="1" spans="1:10">
      <c r="A1051" s="2">
        <v>1050</v>
      </c>
      <c r="B1051" s="3" t="s">
        <v>1544</v>
      </c>
      <c r="C1051" s="2" t="s">
        <v>1552</v>
      </c>
      <c r="D1051" s="2" t="s">
        <v>1546</v>
      </c>
      <c r="E1051" s="2" t="s">
        <v>1546</v>
      </c>
      <c r="F1051" s="2" t="s">
        <v>13</v>
      </c>
      <c r="G1051" s="2" t="s">
        <v>21</v>
      </c>
      <c r="H1051" s="4" t="str">
        <f>HYPERLINK("http://news.cjn.cn/zjjjdpd/sh_20054/202506/t5147432.htm","http://news.cjn.cn/zjjjdpd/sh_20054/202506/t5147432.htm")</f>
        <v>http://news.cjn.cn/zjjjdpd/sh_20054/202506/t5147432.htm</v>
      </c>
      <c r="I1051" s="3" t="s">
        <v>1551</v>
      </c>
      <c r="J1051" t="s">
        <v>16</v>
      </c>
    </row>
    <row r="1052" ht="23" customHeight="1" spans="1:10">
      <c r="A1052" s="2">
        <v>1051</v>
      </c>
      <c r="B1052" s="3" t="s">
        <v>1544</v>
      </c>
      <c r="C1052" s="2" t="s">
        <v>1553</v>
      </c>
      <c r="D1052" s="2" t="s">
        <v>436</v>
      </c>
      <c r="E1052" s="2" t="s">
        <v>1554</v>
      </c>
      <c r="F1052" s="2" t="s">
        <v>13</v>
      </c>
      <c r="G1052" s="2" t="s">
        <v>26</v>
      </c>
      <c r="H1052" s="4" t="str">
        <f>HYPERLINK("https://www.csjcs.com/news/show/00733c0a7e2dc491.html","https://www.csjcs.com/news/show/00733c0a7e2dc491.html")</f>
        <v>https://www.csjcs.com/news/show/00733c0a7e2dc491.html</v>
      </c>
      <c r="I1052" s="3" t="s">
        <v>1551</v>
      </c>
      <c r="J1052" t="s">
        <v>16</v>
      </c>
    </row>
    <row r="1053" ht="23" customHeight="1" spans="1:10">
      <c r="A1053" s="2">
        <v>1052</v>
      </c>
      <c r="B1053" s="3" t="s">
        <v>1544</v>
      </c>
      <c r="C1053" s="2" t="s">
        <v>1555</v>
      </c>
      <c r="D1053" s="2" t="s">
        <v>262</v>
      </c>
      <c r="E1053" s="2" t="s">
        <v>262</v>
      </c>
      <c r="F1053" s="2" t="s">
        <v>13</v>
      </c>
      <c r="G1053" s="2" t="s">
        <v>21</v>
      </c>
      <c r="H1053" s="4" t="str">
        <f>HYPERLINK("https://www.shanghai.gov.cn/nw4411/20250602/978587fce62c42cca2ba3d8886a19ddc.html","https://www.shanghai.gov.cn/nw4411/20250602/978587fce62c42cca2ba3d8886a19ddc.html")</f>
        <v>https://www.shanghai.gov.cn/nw4411/20250602/978587fce62c42cca2ba3d8886a19ddc.html</v>
      </c>
      <c r="I1053" s="3" t="s">
        <v>1551</v>
      </c>
      <c r="J1053" t="s">
        <v>16</v>
      </c>
    </row>
    <row r="1054" ht="23" customHeight="1" spans="1:10">
      <c r="A1054" s="2">
        <v>1053</v>
      </c>
      <c r="B1054" s="3" t="s">
        <v>1544</v>
      </c>
      <c r="C1054" s="2" t="s">
        <v>1556</v>
      </c>
      <c r="D1054" s="2" t="s">
        <v>29</v>
      </c>
      <c r="E1054" s="2" t="s">
        <v>328</v>
      </c>
      <c r="F1054" s="2" t="s">
        <v>13</v>
      </c>
      <c r="G1054" s="2" t="s">
        <v>21</v>
      </c>
      <c r="H1054" s="4" t="str">
        <f>HYPERLINK("https://finance.sina.cn/2025-06-02/detail-ineyryac9660932.d.html","https://finance.sina.cn/2025-06-02/detail-ineyryac9660932.d.html")</f>
        <v>https://finance.sina.cn/2025-06-02/detail-ineyryac9660932.d.html</v>
      </c>
      <c r="I1054" s="3" t="s">
        <v>1547</v>
      </c>
      <c r="J1054" t="s">
        <v>16</v>
      </c>
    </row>
    <row r="1055" ht="23" customHeight="1" spans="1:10">
      <c r="A1055" s="2">
        <v>1054</v>
      </c>
      <c r="B1055" s="3" t="s">
        <v>1557</v>
      </c>
      <c r="C1055" s="2" t="s">
        <v>1558</v>
      </c>
      <c r="D1055" s="2" t="s">
        <v>170</v>
      </c>
      <c r="E1055" s="2" t="s">
        <v>170</v>
      </c>
      <c r="F1055" s="2" t="s">
        <v>37</v>
      </c>
      <c r="G1055" s="2" t="s">
        <v>21</v>
      </c>
      <c r="H1055" s="4" t="str">
        <f>HYPERLINK("https://m.kankanews.com/detail/DgwMVoZZ82W","https://m.kankanews.com/detail/DgwMVoZZ82W")</f>
        <v>https://m.kankanews.com/detail/DgwMVoZZ82W</v>
      </c>
      <c r="I1055" s="3" t="s">
        <v>1559</v>
      </c>
      <c r="J1055" t="s">
        <v>16</v>
      </c>
    </row>
    <row r="1056" ht="23" customHeight="1" spans="1:10">
      <c r="A1056" s="2">
        <v>1055</v>
      </c>
      <c r="B1056" s="3" t="s">
        <v>1560</v>
      </c>
      <c r="C1056" s="2" t="s">
        <v>1561</v>
      </c>
      <c r="D1056" s="2" t="s">
        <v>440</v>
      </c>
      <c r="E1056" s="2" t="s">
        <v>1554</v>
      </c>
      <c r="F1056" s="2" t="s">
        <v>13</v>
      </c>
      <c r="G1056" s="2" t="s">
        <v>26</v>
      </c>
      <c r="H1056" s="4" t="str">
        <f>HYPERLINK("https://hot.online.sh.cn/content/2025-06/02/content_10317123.htm","https://hot.online.sh.cn/content/2025-06/02/content_10317123.htm")</f>
        <v>https://hot.online.sh.cn/content/2025-06/02/content_10317123.htm</v>
      </c>
      <c r="I1056" s="3" t="s">
        <v>1562</v>
      </c>
      <c r="J1056" t="s">
        <v>16</v>
      </c>
    </row>
    <row r="1057" ht="23" customHeight="1" spans="1:10">
      <c r="A1057" s="2">
        <v>1056</v>
      </c>
      <c r="B1057" s="3" t="s">
        <v>1563</v>
      </c>
      <c r="C1057" s="2" t="s">
        <v>1564</v>
      </c>
      <c r="D1057" s="2" t="s">
        <v>1550</v>
      </c>
      <c r="E1057" s="2" t="s">
        <v>1554</v>
      </c>
      <c r="F1057" s="2" t="s">
        <v>145</v>
      </c>
      <c r="G1057" s="2" t="s">
        <v>21</v>
      </c>
      <c r="H1057" s="4" t="str">
        <f>HYPERLINK("https://www.jfdaily.com.cn/staticsg/res/html/journal/detail.html?code=jfrb&amp;date=2025-06-02&amp;id=439148&amp;page=02","https://www.jfdaily.com.cn/staticsg/res/html/journal/detail.html?code=jfrb&amp;date=2025-06-02&amp;id=439148&amp;page=02")</f>
        <v>https://www.jfdaily.com.cn/staticsg/res/html/journal/detail.html?code=jfrb&amp;date=2025-06-02&amp;id=439148&amp;page=02</v>
      </c>
      <c r="I1057" s="3" t="s">
        <v>1540</v>
      </c>
      <c r="J1057" t="s">
        <v>16</v>
      </c>
    </row>
    <row r="1058" ht="23" customHeight="1" spans="1:10">
      <c r="A1058" s="2">
        <v>1057</v>
      </c>
      <c r="B1058" s="3" t="s">
        <v>1563</v>
      </c>
      <c r="C1058" s="2" t="s">
        <v>1565</v>
      </c>
      <c r="D1058" s="2" t="s">
        <v>1550</v>
      </c>
      <c r="E1058" s="2" t="s">
        <v>1554</v>
      </c>
      <c r="F1058" s="2" t="s">
        <v>145</v>
      </c>
      <c r="G1058" s="2" t="s">
        <v>21</v>
      </c>
      <c r="H1058" s="4" t="str">
        <f>HYPERLINK("https://web.shobserver.com/staticsg/res/html/journal/detail.html?code=jfrb&amp;date=2025-06-02&amp;id=439148&amp;page=02","https://web.shobserver.com/staticsg/res/html/journal/detail.html?code=jfrb&amp;date=2025-06-02&amp;id=439148&amp;page=02")</f>
        <v>https://web.shobserver.com/staticsg/res/html/journal/detail.html?code=jfrb&amp;date=2025-06-02&amp;id=439148&amp;page=02</v>
      </c>
      <c r="I1058" s="3" t="s">
        <v>1540</v>
      </c>
      <c r="J1058" t="s">
        <v>16</v>
      </c>
    </row>
    <row r="1059" ht="23" customHeight="1" spans="1:10">
      <c r="A1059" s="2">
        <v>1058</v>
      </c>
      <c r="B1059" s="3" t="s">
        <v>1566</v>
      </c>
      <c r="C1059" s="2" t="s">
        <v>1567</v>
      </c>
      <c r="D1059" s="2" t="s">
        <v>40</v>
      </c>
      <c r="E1059" s="2" t="s">
        <v>159</v>
      </c>
      <c r="F1059" s="2" t="s">
        <v>13</v>
      </c>
      <c r="G1059" s="2" t="s">
        <v>21</v>
      </c>
      <c r="H1059" s="4" t="str">
        <f>HYPERLINK("https://www.yoojia.com/article/9555483445332691908.html","https://www.yoojia.com/article/9555483445332691908.html")</f>
        <v>https://www.yoojia.com/article/9555483445332691908.html</v>
      </c>
      <c r="I1059" s="3" t="s">
        <v>1568</v>
      </c>
      <c r="J1059" t="s">
        <v>16</v>
      </c>
    </row>
    <row r="1060" ht="23" customHeight="1" spans="1:10">
      <c r="A1060" s="2">
        <v>1059</v>
      </c>
      <c r="B1060" s="3" t="s">
        <v>1566</v>
      </c>
      <c r="C1060" s="2" t="s">
        <v>1569</v>
      </c>
      <c r="D1060" s="2" t="s">
        <v>41</v>
      </c>
      <c r="E1060" s="2" t="s">
        <v>159</v>
      </c>
      <c r="F1060" s="2" t="s">
        <v>13</v>
      </c>
      <c r="G1060" s="2" t="s">
        <v>21</v>
      </c>
      <c r="H1060" s="4" t="str">
        <f>HYPERLINK("https://mbd.baidu.com/newspage/data/dtlandingwise?nid=dt_9555483445332691908","https://mbd.baidu.com/newspage/data/dtlandingwise?nid=dt_9555483445332691908")</f>
        <v>https://mbd.baidu.com/newspage/data/dtlandingwise?nid=dt_9555483445332691908</v>
      </c>
      <c r="I1060" s="3" t="s">
        <v>1570</v>
      </c>
      <c r="J1060" t="s">
        <v>16</v>
      </c>
    </row>
    <row r="1061" ht="23" customHeight="1" spans="1:10">
      <c r="A1061" s="2">
        <v>1060</v>
      </c>
      <c r="B1061" s="3" t="s">
        <v>1566</v>
      </c>
      <c r="C1061" s="2" t="s">
        <v>1571</v>
      </c>
      <c r="D1061" s="2" t="s">
        <v>34</v>
      </c>
      <c r="E1061" s="2" t="s">
        <v>159</v>
      </c>
      <c r="F1061" s="2" t="s">
        <v>13</v>
      </c>
      <c r="G1061" s="2" t="s">
        <v>21</v>
      </c>
      <c r="H1061" s="4" t="str">
        <f>HYPERLINK("https://kandianshare.html5.qq.com/v2/news/6281685330788213058","https://kandianshare.html5.qq.com/v2/news/6281685330788213058")</f>
        <v>https://kandianshare.html5.qq.com/v2/news/6281685330788213058</v>
      </c>
      <c r="I1061" s="3" t="s">
        <v>1568</v>
      </c>
      <c r="J1061" t="s">
        <v>16</v>
      </c>
    </row>
    <row r="1062" ht="23" customHeight="1" spans="1:10">
      <c r="A1062" s="2">
        <v>1061</v>
      </c>
      <c r="B1062" s="3" t="s">
        <v>1566</v>
      </c>
      <c r="C1062" s="2" t="s">
        <v>1571</v>
      </c>
      <c r="D1062" s="2" t="s">
        <v>35</v>
      </c>
      <c r="E1062" s="2" t="s">
        <v>159</v>
      </c>
      <c r="F1062" s="2" t="s">
        <v>13</v>
      </c>
      <c r="G1062" s="2" t="s">
        <v>21</v>
      </c>
      <c r="H1062" s="4" t="str">
        <f>HYPERLINK("https://new.qq.com/rain/a/20250601A06BDG00","https://new.qq.com/rain/a/20250601A06BDG00")</f>
        <v>https://new.qq.com/rain/a/20250601A06BDG00</v>
      </c>
      <c r="I1062" s="3" t="s">
        <v>1568</v>
      </c>
      <c r="J1062" t="s">
        <v>16</v>
      </c>
    </row>
    <row r="1063" ht="23" customHeight="1" spans="1:10">
      <c r="A1063" s="2">
        <v>1062</v>
      </c>
      <c r="B1063" s="3" t="s">
        <v>1566</v>
      </c>
      <c r="C1063" s="2" t="s">
        <v>1572</v>
      </c>
      <c r="D1063" s="2" t="s">
        <v>41</v>
      </c>
      <c r="E1063" s="2" t="s">
        <v>159</v>
      </c>
      <c r="F1063" s="2" t="s">
        <v>13</v>
      </c>
      <c r="G1063" s="2" t="s">
        <v>21</v>
      </c>
      <c r="H1063" s="4" t="str">
        <f>HYPERLINK("https://baijiahao.baidu.com/s?id=1833724929238138961","https://baijiahao.baidu.com/s?id=1833724929238138961")</f>
        <v>https://baijiahao.baidu.com/s?id=1833724929238138961</v>
      </c>
      <c r="I1063" s="3" t="s">
        <v>1568</v>
      </c>
      <c r="J1063" t="s">
        <v>16</v>
      </c>
    </row>
    <row r="1064" ht="23" customHeight="1" spans="1:10">
      <c r="A1064" s="2">
        <v>1063</v>
      </c>
      <c r="B1064" s="3" t="s">
        <v>1566</v>
      </c>
      <c r="C1064" s="2" t="s">
        <v>1573</v>
      </c>
      <c r="D1064" s="2" t="s">
        <v>347</v>
      </c>
      <c r="E1064" s="2" t="s">
        <v>164</v>
      </c>
      <c r="F1064" s="2" t="s">
        <v>37</v>
      </c>
      <c r="G1064" s="2" t="s">
        <v>26</v>
      </c>
      <c r="H1064" s="4" t="str">
        <f>HYPERLINK("https://static.zhoudaosh.com/files/cnews/2025/20250601/BE54AFFD864531608525552D93CF78730281757847F1D897EABC00A5A73E2092/1.html","https://static.zhoudaosh.com/files/cnews/2025/20250601/BE54AFFD864531608525552D93CF78730281757847F1D897EABC00A5A73E2092/1.html")</f>
        <v>https://static.zhoudaosh.com/files/cnews/2025/20250601/BE54AFFD864531608525552D93CF78730281757847F1D897EABC00A5A73E2092/1.html</v>
      </c>
      <c r="I1064" s="3" t="s">
        <v>1568</v>
      </c>
      <c r="J1064" t="s">
        <v>16</v>
      </c>
    </row>
    <row r="1065" ht="23" customHeight="1" spans="1:10">
      <c r="A1065" s="2">
        <v>1064</v>
      </c>
      <c r="B1065" s="3" t="s">
        <v>1560</v>
      </c>
      <c r="C1065" s="2" t="s">
        <v>1574</v>
      </c>
      <c r="D1065" s="2" t="s">
        <v>19</v>
      </c>
      <c r="E1065" s="2" t="s">
        <v>20</v>
      </c>
      <c r="F1065" s="2" t="s">
        <v>37</v>
      </c>
      <c r="G1065" s="2" t="s">
        <v>21</v>
      </c>
      <c r="H1065" s="4" t="str">
        <f>HYPERLINK("https://c.m.163.com/news/a/K0VKLM4K055040N3.html","https://c.m.163.com/news/a/K0VKLM4K055040N3.html")</f>
        <v>https://c.m.163.com/news/a/K0VKLM4K055040N3.html</v>
      </c>
      <c r="I1065" s="3" t="s">
        <v>1575</v>
      </c>
      <c r="J1065" t="s">
        <v>16</v>
      </c>
    </row>
    <row r="1066" ht="23" customHeight="1" spans="1:10">
      <c r="A1066" s="2">
        <v>1065</v>
      </c>
      <c r="B1066" s="3" t="s">
        <v>1560</v>
      </c>
      <c r="C1066" s="2" t="s">
        <v>1576</v>
      </c>
      <c r="D1066" s="2" t="s">
        <v>34</v>
      </c>
      <c r="E1066" s="2" t="s">
        <v>20</v>
      </c>
      <c r="F1066" s="2" t="s">
        <v>13</v>
      </c>
      <c r="G1066" s="2" t="s">
        <v>21</v>
      </c>
      <c r="H1066" s="4" t="str">
        <f>HYPERLINK("https://kandianshare.html5.qq.com/v2/news/6191613296867424578","https://kandianshare.html5.qq.com/v2/news/6191613296867424578")</f>
        <v>https://kandianshare.html5.qq.com/v2/news/6191613296867424578</v>
      </c>
      <c r="I1066" s="3" t="s">
        <v>1577</v>
      </c>
      <c r="J1066" t="s">
        <v>16</v>
      </c>
    </row>
    <row r="1067" ht="23" customHeight="1" spans="1:10">
      <c r="A1067" s="2">
        <v>1066</v>
      </c>
      <c r="B1067" s="3" t="s">
        <v>1560</v>
      </c>
      <c r="C1067" s="2" t="s">
        <v>1576</v>
      </c>
      <c r="D1067" s="2" t="s">
        <v>91</v>
      </c>
      <c r="E1067" s="2" t="s">
        <v>20</v>
      </c>
      <c r="F1067" s="2" t="s">
        <v>91</v>
      </c>
      <c r="G1067" s="2" t="s">
        <v>21</v>
      </c>
      <c r="H1067" s="4" t="str">
        <f>HYPERLINK("http://mp.weixin.qq.com/s?__biz=MjM5ODI2NDMwMw==&amp;mid=2653275057&amp;idx=2&amp;sn=96b6a7af1b64a15c5afc23083b439792","http://mp.weixin.qq.com/s?__biz=MjM5ODI2NDMwMw==&amp;mid=2653275057&amp;idx=2&amp;sn=96b6a7af1b64a15c5afc23083b439792")</f>
        <v>http://mp.weixin.qq.com/s?__biz=MjM5ODI2NDMwMw==&amp;mid=2653275057&amp;idx=2&amp;sn=96b6a7af1b64a15c5afc23083b439792</v>
      </c>
      <c r="I1067" s="3" t="s">
        <v>1577</v>
      </c>
      <c r="J1067" t="s">
        <v>16</v>
      </c>
    </row>
    <row r="1068" ht="23" customHeight="1" spans="1:10">
      <c r="A1068" s="2">
        <v>1067</v>
      </c>
      <c r="B1068" s="3" t="s">
        <v>1560</v>
      </c>
      <c r="C1068" s="2" t="s">
        <v>1576</v>
      </c>
      <c r="D1068" s="2" t="s">
        <v>35</v>
      </c>
      <c r="E1068" s="2" t="s">
        <v>20</v>
      </c>
      <c r="F1068" s="2" t="s">
        <v>13</v>
      </c>
      <c r="G1068" s="2" t="s">
        <v>21</v>
      </c>
      <c r="H1068" s="4" t="str">
        <f>HYPERLINK("https://new.qq.com/rain/a/20250601A04K4U00","https://new.qq.com/rain/a/20250601A04K4U00")</f>
        <v>https://new.qq.com/rain/a/20250601A04K4U00</v>
      </c>
      <c r="I1068" s="3" t="s">
        <v>1577</v>
      </c>
      <c r="J1068" t="s">
        <v>16</v>
      </c>
    </row>
    <row r="1069" ht="23" customHeight="1" spans="1:10">
      <c r="A1069" s="2">
        <v>1068</v>
      </c>
      <c r="B1069" s="3" t="s">
        <v>1578</v>
      </c>
      <c r="C1069" s="2" t="s">
        <v>1579</v>
      </c>
      <c r="D1069" s="2" t="s">
        <v>19</v>
      </c>
      <c r="E1069" s="2" t="s">
        <v>20</v>
      </c>
      <c r="F1069" s="2" t="s">
        <v>37</v>
      </c>
      <c r="G1069" s="2" t="s">
        <v>21</v>
      </c>
      <c r="H1069" s="4" t="str">
        <f>HYPERLINK("https://c.m.163.com/news/a/K0VAP9Q6055040N3.html","https://c.m.163.com/news/a/K0VAP9Q6055040N3.html")</f>
        <v>https://c.m.163.com/news/a/K0VAP9Q6055040N3.html</v>
      </c>
      <c r="I1069" s="3" t="s">
        <v>1577</v>
      </c>
      <c r="J1069" t="s">
        <v>16</v>
      </c>
    </row>
    <row r="1070" ht="23" customHeight="1" spans="1:10">
      <c r="A1070" s="2">
        <v>1069</v>
      </c>
      <c r="B1070" s="3" t="s">
        <v>1580</v>
      </c>
      <c r="C1070" s="2" t="s">
        <v>1581</v>
      </c>
      <c r="D1070" s="2" t="s">
        <v>428</v>
      </c>
      <c r="E1070" s="2" t="s">
        <v>1554</v>
      </c>
      <c r="F1070" s="2" t="s">
        <v>13</v>
      </c>
      <c r="G1070" s="2" t="s">
        <v>14</v>
      </c>
      <c r="H1070" s="4" t="str">
        <f>HYPERLINK("https://article.xuexi.cn/articles/index.html?art_id=2305577495180181294&amp;cdn=https://region-shanghai-resource","https://article.xuexi.cn/articles/index.html?art_id=2305577495180181294&amp;cdn=https://region-shanghai-resource")</f>
        <v>https://article.xuexi.cn/articles/index.html?art_id=2305577495180181294&amp;cdn=https://region-shanghai-resource</v>
      </c>
      <c r="I1070" s="3" t="s">
        <v>1575</v>
      </c>
      <c r="J1070" t="s">
        <v>16</v>
      </c>
    </row>
    <row r="1071" ht="23" customHeight="1" spans="1:10">
      <c r="A1071" s="2">
        <v>1070</v>
      </c>
      <c r="B1071" s="3" t="s">
        <v>1578</v>
      </c>
      <c r="C1071" s="2" t="s">
        <v>1582</v>
      </c>
      <c r="D1071" s="2" t="s">
        <v>11</v>
      </c>
      <c r="E1071" s="2" t="s">
        <v>20</v>
      </c>
      <c r="F1071" s="2" t="s">
        <v>13</v>
      </c>
      <c r="G1071" s="2" t="s">
        <v>21</v>
      </c>
      <c r="H1071" s="4" t="str">
        <f>HYPERLINK("https://www.toutiao.com/article/7510791464578761270/","https://www.toutiao.com/article/7510791464578761270/")</f>
        <v>https://www.toutiao.com/article/7510791464578761270/</v>
      </c>
      <c r="I1071" s="3" t="s">
        <v>1583</v>
      </c>
      <c r="J1071" t="s">
        <v>16</v>
      </c>
    </row>
    <row r="1072" ht="23" customHeight="1" spans="1:10">
      <c r="A1072" s="2">
        <v>1071</v>
      </c>
      <c r="B1072" s="3" t="s">
        <v>1578</v>
      </c>
      <c r="C1072" s="2" t="s">
        <v>1584</v>
      </c>
      <c r="D1072" s="2" t="s">
        <v>1585</v>
      </c>
      <c r="E1072" s="2" t="s">
        <v>20</v>
      </c>
      <c r="F1072" s="2" t="s">
        <v>37</v>
      </c>
      <c r="G1072" s="2" t="s">
        <v>26</v>
      </c>
      <c r="H1072" s="4" t="str">
        <f>HYPERLINK("https://choicew2z.eastmoney.com/info/news/#/appDetail?infoCode=NW202506013419764589","https://choicew2z.eastmoney.com/info/news/#/appDetail?infoCode=NW202506013419764589")</f>
        <v>https://choicew2z.eastmoney.com/info/news/#/appDetail?infoCode=NW202506013419764589</v>
      </c>
      <c r="I1072" s="3" t="s">
        <v>1586</v>
      </c>
      <c r="J1072" t="s">
        <v>16</v>
      </c>
    </row>
    <row r="1073" ht="23" customHeight="1" spans="1:10">
      <c r="A1073" s="2">
        <v>1072</v>
      </c>
      <c r="B1073" s="3" t="s">
        <v>1578</v>
      </c>
      <c r="C1073" s="2" t="s">
        <v>1587</v>
      </c>
      <c r="D1073" s="2" t="s">
        <v>35</v>
      </c>
      <c r="E1073" s="2" t="s">
        <v>20</v>
      </c>
      <c r="F1073" s="2" t="s">
        <v>13</v>
      </c>
      <c r="G1073" s="2" t="s">
        <v>21</v>
      </c>
      <c r="H1073" s="4" t="str">
        <f>HYPERLINK("https://new.qq.com/rain/a/20250601A0306900","https://new.qq.com/rain/a/20250601A0306900")</f>
        <v>https://new.qq.com/rain/a/20250601A0306900</v>
      </c>
      <c r="I1073" s="3" t="s">
        <v>1577</v>
      </c>
      <c r="J1073" t="s">
        <v>16</v>
      </c>
    </row>
    <row r="1074" ht="23" customHeight="1" spans="1:10">
      <c r="A1074" s="2">
        <v>1073</v>
      </c>
      <c r="B1074" s="3" t="s">
        <v>1578</v>
      </c>
      <c r="C1074" s="2" t="s">
        <v>1587</v>
      </c>
      <c r="D1074" s="2" t="s">
        <v>34</v>
      </c>
      <c r="E1074" s="2" t="s">
        <v>20</v>
      </c>
      <c r="F1074" s="2" t="s">
        <v>13</v>
      </c>
      <c r="G1074" s="2" t="s">
        <v>21</v>
      </c>
      <c r="H1074" s="4" t="str">
        <f>HYPERLINK("https://kandianshare.html5.qq.com/v2/news/1336732867956166978","https://kandianshare.html5.qq.com/v2/news/1336732867956166978")</f>
        <v>https://kandianshare.html5.qq.com/v2/news/1336732867956166978</v>
      </c>
      <c r="I1074" s="3" t="s">
        <v>1577</v>
      </c>
      <c r="J1074" t="s">
        <v>16</v>
      </c>
    </row>
    <row r="1075" ht="23" customHeight="1" spans="1:10">
      <c r="A1075" s="2">
        <v>1074</v>
      </c>
      <c r="B1075" s="3" t="s">
        <v>1578</v>
      </c>
      <c r="C1075" s="2" t="s">
        <v>1588</v>
      </c>
      <c r="D1075" s="2" t="s">
        <v>43</v>
      </c>
      <c r="E1075" s="2" t="s">
        <v>1589</v>
      </c>
      <c r="F1075" s="2" t="s">
        <v>13</v>
      </c>
      <c r="G1075" s="2" t="s">
        <v>21</v>
      </c>
      <c r="H1075" s="4" t="str">
        <f>HYPERLINK("https://www.jfdaily.com.cn/staticsg/res/html/web/newsDetail.html?id=920910","https://www.jfdaily.com.cn/staticsg/res/html/web/newsDetail.html?id=920910")</f>
        <v>https://www.jfdaily.com.cn/staticsg/res/html/web/newsDetail.html?id=920910</v>
      </c>
      <c r="I1075" s="3" t="s">
        <v>1590</v>
      </c>
      <c r="J1075" t="s">
        <v>16</v>
      </c>
    </row>
    <row r="1076" ht="23" customHeight="1" spans="1:10">
      <c r="A1076" s="2">
        <v>1075</v>
      </c>
      <c r="B1076" s="3" t="s">
        <v>1578</v>
      </c>
      <c r="C1076" s="2" t="s">
        <v>1588</v>
      </c>
      <c r="D1076" s="2" t="s">
        <v>43</v>
      </c>
      <c r="E1076" s="2" t="s">
        <v>1589</v>
      </c>
      <c r="F1076" s="2" t="s">
        <v>13</v>
      </c>
      <c r="G1076" s="2" t="s">
        <v>21</v>
      </c>
      <c r="H1076" s="4" t="str">
        <f>HYPERLINK("https://www.shobserver.com/staticsg/res/html/web/newsDetail.html?id=920910","https://www.shobserver.com/staticsg/res/html/web/newsDetail.html?id=920910")</f>
        <v>https://www.shobserver.com/staticsg/res/html/web/newsDetail.html?id=920910</v>
      </c>
      <c r="I1076" s="3" t="s">
        <v>1577</v>
      </c>
      <c r="J1076" t="s">
        <v>16</v>
      </c>
    </row>
    <row r="1077" ht="23" customHeight="1" spans="1:10">
      <c r="A1077" s="2">
        <v>1076</v>
      </c>
      <c r="B1077" s="3" t="s">
        <v>1578</v>
      </c>
      <c r="C1077" s="2" t="s">
        <v>1591</v>
      </c>
      <c r="D1077" s="2" t="s">
        <v>20</v>
      </c>
      <c r="E1077" s="2" t="s">
        <v>1589</v>
      </c>
      <c r="F1077" s="2" t="s">
        <v>37</v>
      </c>
      <c r="G1077" s="2" t="s">
        <v>21</v>
      </c>
      <c r="H1077" s="4" t="str">
        <f>HYPERLINK("https://services.shobserver.com/news/viewNewsDetail?id=920910","https://services.shobserver.com/news/viewNewsDetail?id=920910")</f>
        <v>https://services.shobserver.com/news/viewNewsDetail?id=920910</v>
      </c>
      <c r="I1077" s="3" t="s">
        <v>1577</v>
      </c>
      <c r="J1077" t="s">
        <v>16</v>
      </c>
    </row>
    <row r="1078" ht="23" customHeight="1" spans="1:10">
      <c r="A1078" s="2">
        <v>1077</v>
      </c>
      <c r="B1078" s="3" t="s">
        <v>1578</v>
      </c>
      <c r="C1078" s="2" t="s">
        <v>1591</v>
      </c>
      <c r="D1078" s="2" t="s">
        <v>43</v>
      </c>
      <c r="E1078" s="2" t="s">
        <v>43</v>
      </c>
      <c r="F1078" s="2" t="s">
        <v>37</v>
      </c>
      <c r="G1078" s="2" t="s">
        <v>21</v>
      </c>
      <c r="H1078" s="4" t="str">
        <f>HYPERLINK("https://export.shobserver.com/baijiahao/html/920910.html","https://export.shobserver.com/baijiahao/html/920910.html")</f>
        <v>https://export.shobserver.com/baijiahao/html/920910.html</v>
      </c>
      <c r="I1078" s="3" t="s">
        <v>1575</v>
      </c>
      <c r="J1078" t="s">
        <v>16</v>
      </c>
    </row>
    <row r="1079" ht="23" customHeight="1" spans="1:10">
      <c r="A1079" s="2">
        <v>1078</v>
      </c>
      <c r="B1079" s="3" t="s">
        <v>1578</v>
      </c>
      <c r="C1079" s="2" t="s">
        <v>1591</v>
      </c>
      <c r="D1079" s="2" t="s">
        <v>41</v>
      </c>
      <c r="E1079" s="2" t="s">
        <v>20</v>
      </c>
      <c r="F1079" s="2" t="s">
        <v>13</v>
      </c>
      <c r="G1079" s="2" t="s">
        <v>21</v>
      </c>
      <c r="H1079" s="4" t="str">
        <f>HYPERLINK("https://baijiahao.baidu.com/s?id=1833688802545419242","https://baijiahao.baidu.com/s?id=1833688802545419242")</f>
        <v>https://baijiahao.baidu.com/s?id=1833688802545419242</v>
      </c>
      <c r="I1079" s="3" t="s">
        <v>1583</v>
      </c>
      <c r="J1079" t="s">
        <v>16</v>
      </c>
    </row>
    <row r="1080" ht="23" customHeight="1" spans="1:10">
      <c r="A1080" s="2">
        <v>1079</v>
      </c>
      <c r="B1080" s="3" t="s">
        <v>1578</v>
      </c>
      <c r="C1080" s="2" t="s">
        <v>1591</v>
      </c>
      <c r="D1080" s="2" t="s">
        <v>43</v>
      </c>
      <c r="E1080" s="2" t="s">
        <v>1589</v>
      </c>
      <c r="F1080" s="2" t="s">
        <v>13</v>
      </c>
      <c r="G1080" s="2" t="s">
        <v>21</v>
      </c>
      <c r="H1080" s="4" t="str">
        <f>HYPERLINK("https://www.jfdaily.com/staticsg/res/html/web/newsDetail.html?id=920910","https://www.jfdaily.com/staticsg/res/html/web/newsDetail.html?id=920910")</f>
        <v>https://www.jfdaily.com/staticsg/res/html/web/newsDetail.html?id=920910</v>
      </c>
      <c r="I1080" s="3" t="s">
        <v>1577</v>
      </c>
      <c r="J1080" t="s">
        <v>16</v>
      </c>
    </row>
    <row r="1081" ht="23" customHeight="1" spans="1:10">
      <c r="A1081" s="2">
        <v>1080</v>
      </c>
      <c r="B1081" s="3" t="s">
        <v>1592</v>
      </c>
      <c r="C1081" s="2" t="s">
        <v>1593</v>
      </c>
      <c r="D1081" s="2" t="s">
        <v>91</v>
      </c>
      <c r="E1081" s="2" t="s">
        <v>1594</v>
      </c>
      <c r="F1081" s="2" t="s">
        <v>91</v>
      </c>
      <c r="G1081" s="2" t="s">
        <v>26</v>
      </c>
      <c r="H1081" s="4" t="str">
        <f>HYPERLINK("http://mp.weixin.qq.com/s?__biz=MzAxODE4NTAwOA==&amp;mid=2651188362&amp;idx=1&amp;sn=3a293e46fd57c75a10b843b911815a6a","http://mp.weixin.qq.com/s?__biz=MzAxODE4NTAwOA==&amp;mid=2651188362&amp;idx=1&amp;sn=3a293e46fd57c75a10b843b911815a6a")</f>
        <v>http://mp.weixin.qq.com/s?__biz=MzAxODE4NTAwOA==&amp;mid=2651188362&amp;idx=1&amp;sn=3a293e46fd57c75a10b843b911815a6a</v>
      </c>
      <c r="I1081" s="3" t="s">
        <v>1595</v>
      </c>
      <c r="J1081" t="s">
        <v>16</v>
      </c>
    </row>
    <row r="1082" ht="23" customHeight="1" spans="1:10">
      <c r="A1082" s="2">
        <v>1081</v>
      </c>
      <c r="B1082" s="3" t="s">
        <v>1596</v>
      </c>
      <c r="C1082" s="2" t="s">
        <v>1597</v>
      </c>
      <c r="D1082" s="2" t="s">
        <v>334</v>
      </c>
      <c r="E1082" s="2" t="s">
        <v>334</v>
      </c>
      <c r="F1082" s="2" t="s">
        <v>37</v>
      </c>
      <c r="G1082" s="2" t="s">
        <v>26</v>
      </c>
      <c r="H1082" s="4" t="str">
        <f>HYPERLINK("https://j.021east.com/m/1748691307042721","https://j.021east.com/m/1748691307042721")</f>
        <v>https://j.021east.com/m/1748691307042721</v>
      </c>
      <c r="I1082" s="3" t="s">
        <v>1598</v>
      </c>
      <c r="J1082" t="s">
        <v>16</v>
      </c>
    </row>
    <row r="1083" ht="23" customHeight="1" spans="1:10">
      <c r="A1083" s="2">
        <v>1082</v>
      </c>
      <c r="B1083" s="3" t="s">
        <v>1596</v>
      </c>
      <c r="C1083" s="2" t="s">
        <v>1599</v>
      </c>
      <c r="D1083" s="2" t="s">
        <v>41</v>
      </c>
      <c r="E1083" s="2" t="s">
        <v>20</v>
      </c>
      <c r="F1083" s="2" t="s">
        <v>13</v>
      </c>
      <c r="G1083" s="2" t="s">
        <v>21</v>
      </c>
      <c r="H1083" s="4" t="str">
        <f>HYPERLINK("https://mbd.baidu.com/newspage/data/dtlandingwise?nid=dt_9461328175761196115","https://mbd.baidu.com/newspage/data/dtlandingwise?nid=dt_9461328175761196115")</f>
        <v>https://mbd.baidu.com/newspage/data/dtlandingwise?nid=dt_9461328175761196115</v>
      </c>
      <c r="I1083" s="3" t="s">
        <v>1600</v>
      </c>
      <c r="J1083" t="s">
        <v>16</v>
      </c>
    </row>
    <row r="1084" ht="23" customHeight="1" spans="1:10">
      <c r="A1084" s="2">
        <v>1083</v>
      </c>
      <c r="B1084" s="3" t="s">
        <v>1596</v>
      </c>
      <c r="C1084" s="2" t="s">
        <v>1601</v>
      </c>
      <c r="D1084" s="2" t="s">
        <v>41</v>
      </c>
      <c r="E1084" s="2" t="s">
        <v>20</v>
      </c>
      <c r="F1084" s="2" t="s">
        <v>13</v>
      </c>
      <c r="G1084" s="2" t="s">
        <v>21</v>
      </c>
      <c r="H1084" s="4" t="str">
        <f>HYPERLINK("https://baijiahao.baidu.com/s?id=1833624251673066836","https://baijiahao.baidu.com/s?id=1833624251673066836")</f>
        <v>https://baijiahao.baidu.com/s?id=1833624251673066836</v>
      </c>
      <c r="I1084" s="3" t="s">
        <v>1602</v>
      </c>
      <c r="J1084" t="s">
        <v>16</v>
      </c>
    </row>
    <row r="1085" ht="23" customHeight="1" spans="1:10">
      <c r="A1085" s="2">
        <v>1084</v>
      </c>
      <c r="B1085" s="3" t="s">
        <v>1603</v>
      </c>
      <c r="C1085" s="2" t="s">
        <v>1604</v>
      </c>
      <c r="D1085" s="2" t="s">
        <v>11</v>
      </c>
      <c r="E1085" s="2" t="s">
        <v>1605</v>
      </c>
      <c r="F1085" s="2" t="s">
        <v>13</v>
      </c>
      <c r="G1085" s="2" t="s">
        <v>14</v>
      </c>
      <c r="H1085" s="4" t="str">
        <f>HYPERLINK("https://www.toutiao.com/article/7510136988670984731/","https://www.toutiao.com/article/7510136988670984731/")</f>
        <v>https://www.toutiao.com/article/7510136988670984731/</v>
      </c>
      <c r="I1085" s="3" t="s">
        <v>1606</v>
      </c>
      <c r="J1085" t="s">
        <v>16</v>
      </c>
    </row>
    <row r="1086" ht="23" customHeight="1" spans="1:10">
      <c r="A1086" s="2">
        <v>1085</v>
      </c>
      <c r="B1086" s="3" t="s">
        <v>1603</v>
      </c>
      <c r="C1086" s="2" t="s">
        <v>1607</v>
      </c>
      <c r="D1086" s="2" t="s">
        <v>11</v>
      </c>
      <c r="E1086" s="2" t="s">
        <v>87</v>
      </c>
      <c r="F1086" s="2" t="s">
        <v>13</v>
      </c>
      <c r="G1086" s="2" t="s">
        <v>26</v>
      </c>
      <c r="H1086" s="4" t="str">
        <f>HYPERLINK("https://www.toutiao.com/article/7510136398683587124/","https://www.toutiao.com/article/7510136398683587124/")</f>
        <v>https://www.toutiao.com/article/7510136398683587124/</v>
      </c>
      <c r="I1086" s="3" t="s">
        <v>1606</v>
      </c>
      <c r="J1086" t="s">
        <v>16</v>
      </c>
    </row>
    <row r="1087" ht="23" customHeight="1" spans="1:10">
      <c r="A1087" s="2">
        <v>1086</v>
      </c>
      <c r="B1087" s="3" t="s">
        <v>1603</v>
      </c>
      <c r="C1087" s="2" t="s">
        <v>1608</v>
      </c>
      <c r="D1087" s="2" t="s">
        <v>19</v>
      </c>
      <c r="E1087" s="2" t="s">
        <v>108</v>
      </c>
      <c r="F1087" s="2" t="s">
        <v>37</v>
      </c>
      <c r="G1087" s="2" t="s">
        <v>14</v>
      </c>
      <c r="H1087" s="4" t="str">
        <f>HYPERLINK("https://c.m.163.com/news/a/K0QLJM7C0530QRMB.html","https://c.m.163.com/news/a/K0QLJM7C0530QRMB.html")</f>
        <v>https://c.m.163.com/news/a/K0QLJM7C0530QRMB.html</v>
      </c>
      <c r="I1087" s="3" t="s">
        <v>1609</v>
      </c>
      <c r="J1087" t="s">
        <v>16</v>
      </c>
    </row>
    <row r="1088" ht="23" customHeight="1" spans="1:10">
      <c r="A1088" s="2">
        <v>1087</v>
      </c>
      <c r="B1088" s="3" t="s">
        <v>1603</v>
      </c>
      <c r="C1088" s="2" t="s">
        <v>1610</v>
      </c>
      <c r="D1088" s="2" t="s">
        <v>107</v>
      </c>
      <c r="E1088" s="2" t="s">
        <v>87</v>
      </c>
      <c r="F1088" s="2" t="s">
        <v>13</v>
      </c>
      <c r="G1088" s="2" t="s">
        <v>26</v>
      </c>
      <c r="H1088" s="4" t="str">
        <f>HYPERLINK("https://k.sina.cn/article_6824573189_196c6b905020029ezm.html","https://k.sina.cn/article_6824573189_196c6b905020029ezm.html")</f>
        <v>https://k.sina.cn/article_6824573189_196c6b905020029ezm.html</v>
      </c>
      <c r="I1088" s="3" t="s">
        <v>1606</v>
      </c>
      <c r="J1088" t="s">
        <v>16</v>
      </c>
    </row>
    <row r="1089" ht="23" customHeight="1" spans="1:10">
      <c r="A1089" s="2">
        <v>1088</v>
      </c>
      <c r="B1089" s="3" t="s">
        <v>1603</v>
      </c>
      <c r="C1089" s="2" t="s">
        <v>1610</v>
      </c>
      <c r="D1089" s="2" t="s">
        <v>107</v>
      </c>
      <c r="E1089" s="2" t="s">
        <v>108</v>
      </c>
      <c r="F1089" s="2" t="s">
        <v>13</v>
      </c>
      <c r="G1089" s="2" t="s">
        <v>14</v>
      </c>
      <c r="H1089" s="4" t="str">
        <f>HYPERLINK("https://k.sina.cn/article_7517400647_1c0126e470590709q8.html","https://k.sina.cn/article_7517400647_1c0126e470590709q8.html")</f>
        <v>https://k.sina.cn/article_7517400647_1c0126e470590709q8.html</v>
      </c>
      <c r="I1089" s="3" t="s">
        <v>1611</v>
      </c>
      <c r="J1089" t="s">
        <v>16</v>
      </c>
    </row>
    <row r="1090" ht="23" customHeight="1" spans="1:10">
      <c r="A1090" s="2">
        <v>1089</v>
      </c>
      <c r="B1090" s="3" t="s">
        <v>1603</v>
      </c>
      <c r="C1090" s="2" t="s">
        <v>1610</v>
      </c>
      <c r="D1090" s="2" t="s">
        <v>1251</v>
      </c>
      <c r="E1090" s="2" t="s">
        <v>1612</v>
      </c>
      <c r="F1090" s="2" t="s">
        <v>37</v>
      </c>
      <c r="G1090" s="2" t="s">
        <v>26</v>
      </c>
      <c r="H1090" s="4" t="str">
        <f>HYPERLINK("http://m.uczzd.cn/ucnews/news?aid=8733191310453984020","http://m.uczzd.cn/ucnews/news?aid=8733191310453984020")</f>
        <v>http://m.uczzd.cn/ucnews/news?aid=8733191310453984020</v>
      </c>
      <c r="I1090" s="3" t="s">
        <v>1613</v>
      </c>
      <c r="J1090" t="s">
        <v>16</v>
      </c>
    </row>
    <row r="1091" ht="23" customHeight="1" spans="1:10">
      <c r="A1091" s="2">
        <v>1090</v>
      </c>
      <c r="B1091" s="3" t="s">
        <v>1603</v>
      </c>
      <c r="C1091" s="2" t="s">
        <v>1610</v>
      </c>
      <c r="D1091" s="2" t="s">
        <v>450</v>
      </c>
      <c r="E1091" s="2" t="s">
        <v>108</v>
      </c>
      <c r="F1091" s="2" t="s">
        <v>13</v>
      </c>
      <c r="G1091" s="2" t="s">
        <v>14</v>
      </c>
      <c r="H1091" s="4" t="str">
        <f>HYPERLINK("http://a.mp.uc.cn/article.html?uc_param_str=frdnsnpfvecpntnwprdssskt&amp;wm_cid=689014612925892608","http://a.mp.uc.cn/article.html?uc_param_str=frdnsnpfvecpntnwprdssskt&amp;wm_cid=689014612925892608")</f>
        <v>http://a.mp.uc.cn/article.html?uc_param_str=frdnsnpfvecpntnwprdssskt&amp;wm_cid=689014612925892608</v>
      </c>
      <c r="I1091" s="3" t="s">
        <v>1613</v>
      </c>
      <c r="J1091" t="s">
        <v>16</v>
      </c>
    </row>
    <row r="1092" ht="23" customHeight="1" spans="1:10">
      <c r="A1092" s="2">
        <v>1091</v>
      </c>
      <c r="B1092" s="3" t="s">
        <v>1603</v>
      </c>
      <c r="C1092" s="2" t="s">
        <v>1610</v>
      </c>
      <c r="D1092" s="2" t="s">
        <v>286</v>
      </c>
      <c r="E1092" s="2" t="s">
        <v>287</v>
      </c>
      <c r="F1092" s="2" t="s">
        <v>13</v>
      </c>
      <c r="G1092" s="2" t="s">
        <v>14</v>
      </c>
      <c r="H1092" s="4" t="str">
        <f>HYPERLINK("https://www.360kuai.com/pc/detail?url=http%3A%2F%2Fzm.news.so.com%2F3ca1ccadcc42f22227dfe828d96b88d4&amp;check=e499c3b95469717d","https://www.360kuai.com/pc/detail?url=http%3A%2F%2Fzm.news.so.com%2F3ca1ccadcc42f22227dfe828d96b88d4&amp;check=e499c3b95469717d")</f>
        <v>https://www.360kuai.com/pc/detail?url=http%3A%2F%2Fzm.news.so.com%2F3ca1ccadcc42f22227dfe828d96b88d4&amp;check=e499c3b95469717d</v>
      </c>
      <c r="I1092" s="3" t="s">
        <v>1611</v>
      </c>
      <c r="J1092" t="s">
        <v>16</v>
      </c>
    </row>
    <row r="1093" ht="23" customHeight="1" spans="1:10">
      <c r="A1093" s="2">
        <v>1092</v>
      </c>
      <c r="B1093" s="3" t="s">
        <v>1603</v>
      </c>
      <c r="C1093" s="2" t="s">
        <v>1614</v>
      </c>
      <c r="D1093" s="2" t="s">
        <v>95</v>
      </c>
      <c r="E1093" s="2" t="s">
        <v>95</v>
      </c>
      <c r="F1093" s="2" t="s">
        <v>13</v>
      </c>
      <c r="G1093" s="2" t="s">
        <v>14</v>
      </c>
      <c r="H1093" s="4" t="str">
        <f>HYPERLINK("http://sh.people.com.cn/n2/2025/0530/c134768-41245275.html","http://sh.people.com.cn/n2/2025/0530/c134768-41245275.html")</f>
        <v>http://sh.people.com.cn/n2/2025/0530/c134768-41245275.html</v>
      </c>
      <c r="I1093" s="3" t="s">
        <v>1606</v>
      </c>
      <c r="J1093" t="s">
        <v>16</v>
      </c>
    </row>
    <row r="1094" ht="23" customHeight="1" spans="1:10">
      <c r="A1094" s="2">
        <v>1093</v>
      </c>
      <c r="B1094" s="3" t="s">
        <v>1603</v>
      </c>
      <c r="C1094" s="2" t="s">
        <v>1614</v>
      </c>
      <c r="D1094" s="2" t="s">
        <v>95</v>
      </c>
      <c r="E1094" s="2" t="s">
        <v>95</v>
      </c>
      <c r="F1094" s="2" t="s">
        <v>13</v>
      </c>
      <c r="G1094" s="2" t="s">
        <v>14</v>
      </c>
      <c r="H1094" s="4" t="str">
        <f>HYPERLINK("http://sh.people.com.cn/BIG5/n2/2025/0530/c134768-41245275.html","http://sh.people.com.cn/BIG5/n2/2025/0530/c134768-41245275.html")</f>
        <v>http://sh.people.com.cn/BIG5/n2/2025/0530/c134768-41245275.html</v>
      </c>
      <c r="I1094" s="3" t="s">
        <v>1606</v>
      </c>
      <c r="J1094" t="s">
        <v>16</v>
      </c>
    </row>
    <row r="1095" ht="23" customHeight="1" spans="1:10">
      <c r="A1095" s="2">
        <v>1094</v>
      </c>
      <c r="B1095" s="3" t="s">
        <v>1603</v>
      </c>
      <c r="C1095" s="2" t="s">
        <v>1614</v>
      </c>
      <c r="D1095" s="2" t="s">
        <v>41</v>
      </c>
      <c r="E1095" s="2" t="s">
        <v>87</v>
      </c>
      <c r="F1095" s="2" t="s">
        <v>13</v>
      </c>
      <c r="G1095" s="2" t="s">
        <v>26</v>
      </c>
      <c r="H1095" s="4" t="str">
        <f>HYPERLINK("https://baijiahao.baidu.com/s?id=1833529205499147165","https://baijiahao.baidu.com/s?id=1833529205499147165")</f>
        <v>https://baijiahao.baidu.com/s?id=1833529205499147165</v>
      </c>
      <c r="I1095" s="3" t="s">
        <v>1606</v>
      </c>
      <c r="J1095" t="s">
        <v>16</v>
      </c>
    </row>
    <row r="1096" ht="23" customHeight="1" spans="1:10">
      <c r="A1096" s="2">
        <v>1095</v>
      </c>
      <c r="B1096" s="3" t="s">
        <v>1615</v>
      </c>
      <c r="C1096" s="2" t="s">
        <v>1616</v>
      </c>
      <c r="D1096" s="2" t="s">
        <v>215</v>
      </c>
      <c r="E1096" s="2" t="s">
        <v>215</v>
      </c>
      <c r="F1096" s="2" t="s">
        <v>13</v>
      </c>
      <c r="G1096" s="2" t="s">
        <v>21</v>
      </c>
      <c r="H1096" s="4" t="str">
        <f>HYPERLINK("http://edu.eastday.com/node2/jypd/n5/20250530/u1ai65211.html","http://edu.eastday.com/node2/jypd/n5/20250530/u1ai65211.html")</f>
        <v>http://edu.eastday.com/node2/jypd/n5/20250530/u1ai65211.html</v>
      </c>
      <c r="I1096" s="3" t="s">
        <v>1617</v>
      </c>
      <c r="J1096" t="s">
        <v>16</v>
      </c>
    </row>
    <row r="1097" ht="23" customHeight="1" spans="1:10">
      <c r="A1097" s="2">
        <v>1096</v>
      </c>
      <c r="B1097" s="3" t="s">
        <v>1618</v>
      </c>
      <c r="C1097" s="2" t="s">
        <v>1619</v>
      </c>
      <c r="D1097" s="2" t="s">
        <v>211</v>
      </c>
      <c r="E1097" s="2" t="s">
        <v>211</v>
      </c>
      <c r="F1097" s="2" t="s">
        <v>13</v>
      </c>
      <c r="G1097" s="2" t="s">
        <v>14</v>
      </c>
      <c r="H1097" s="4" t="str">
        <f>HYPERLINK("https://m.huanqiu.com/article/4MrXOwDmz7I","https://m.huanqiu.com/article/4MrXOwDmz7I")</f>
        <v>https://m.huanqiu.com/article/4MrXOwDmz7I</v>
      </c>
      <c r="I1097" s="3" t="s">
        <v>1620</v>
      </c>
      <c r="J1097" t="s">
        <v>16</v>
      </c>
    </row>
    <row r="1098" ht="23" customHeight="1" spans="1:10">
      <c r="A1098" s="2">
        <v>1097</v>
      </c>
      <c r="B1098" s="3" t="s">
        <v>1618</v>
      </c>
      <c r="C1098" s="2" t="s">
        <v>1621</v>
      </c>
      <c r="D1098" s="2" t="s">
        <v>40</v>
      </c>
      <c r="E1098" s="2" t="s">
        <v>1622</v>
      </c>
      <c r="F1098" s="2" t="s">
        <v>13</v>
      </c>
      <c r="G1098" s="2" t="s">
        <v>21</v>
      </c>
      <c r="H1098" s="4" t="str">
        <f>HYPERLINK("https://www.yoojia.com/article/9312287523488732657.html","https://www.yoojia.com/article/9312287523488732657.html")</f>
        <v>https://www.yoojia.com/article/9312287523488732657.html</v>
      </c>
      <c r="I1098" s="3" t="s">
        <v>1623</v>
      </c>
      <c r="J1098" t="s">
        <v>16</v>
      </c>
    </row>
    <row r="1099" ht="23" customHeight="1" spans="1:10">
      <c r="A1099" s="2">
        <v>1098</v>
      </c>
      <c r="B1099" s="3" t="s">
        <v>1618</v>
      </c>
      <c r="C1099" s="2" t="s">
        <v>1624</v>
      </c>
      <c r="D1099" s="2" t="s">
        <v>41</v>
      </c>
      <c r="E1099" s="2" t="s">
        <v>1622</v>
      </c>
      <c r="F1099" s="2" t="s">
        <v>13</v>
      </c>
      <c r="G1099" s="2" t="s">
        <v>21</v>
      </c>
      <c r="H1099" s="4" t="str">
        <f>HYPERLINK("https://baijiahao.baidu.com/s?id=1833353321775557980","https://baijiahao.baidu.com/s?id=1833353321775557980")</f>
        <v>https://baijiahao.baidu.com/s?id=1833353321775557980</v>
      </c>
      <c r="I1099" s="3" t="s">
        <v>1623</v>
      </c>
      <c r="J1099" t="s">
        <v>16</v>
      </c>
    </row>
    <row r="1100" ht="23" customHeight="1" spans="1:10">
      <c r="A1100" s="2">
        <v>1099</v>
      </c>
      <c r="B1100" s="3" t="s">
        <v>1618</v>
      </c>
      <c r="C1100" s="2" t="s">
        <v>1624</v>
      </c>
      <c r="D1100" s="2" t="s">
        <v>1622</v>
      </c>
      <c r="E1100" s="2" t="s">
        <v>719</v>
      </c>
      <c r="F1100" s="2" t="s">
        <v>13</v>
      </c>
      <c r="G1100" s="2" t="s">
        <v>83</v>
      </c>
      <c r="H1100" s="4" t="str">
        <f>HYPERLINK("https://china.qianlong.com/2025/0528/8495664.shtml","https://china.qianlong.com/2025/0528/8495664.shtml")</f>
        <v>https://china.qianlong.com/2025/0528/8495664.shtml</v>
      </c>
      <c r="I1100" s="3" t="s">
        <v>1623</v>
      </c>
      <c r="J1100" t="s">
        <v>16</v>
      </c>
    </row>
    <row r="1101" ht="23" customHeight="1" spans="1:10">
      <c r="A1101" s="2">
        <v>1100</v>
      </c>
      <c r="B1101" s="3" t="s">
        <v>1618</v>
      </c>
      <c r="C1101" s="2" t="s">
        <v>1625</v>
      </c>
      <c r="D1101" s="2" t="s">
        <v>211</v>
      </c>
      <c r="E1101" s="2" t="s">
        <v>211</v>
      </c>
      <c r="F1101" s="2" t="s">
        <v>13</v>
      </c>
      <c r="G1101" s="2" t="s">
        <v>14</v>
      </c>
      <c r="H1101" s="4" t="str">
        <f>HYPERLINK("https://biz.huanqiu.com/article/4MrXOwDmz7I","https://biz.huanqiu.com/article/4MrXOwDmz7I")</f>
        <v>https://biz.huanqiu.com/article/4MrXOwDmz7I</v>
      </c>
      <c r="I1101" s="3" t="s">
        <v>1620</v>
      </c>
      <c r="J1101" t="s">
        <v>16</v>
      </c>
    </row>
    <row r="1102" ht="23" customHeight="1" spans="1:10">
      <c r="A1102" s="2">
        <v>1101</v>
      </c>
      <c r="B1102" s="3" t="s">
        <v>1618</v>
      </c>
      <c r="C1102" s="2" t="s">
        <v>1626</v>
      </c>
      <c r="D1102" s="2" t="s">
        <v>1627</v>
      </c>
      <c r="E1102" s="2" t="s">
        <v>1628</v>
      </c>
      <c r="F1102" s="2" t="s">
        <v>13</v>
      </c>
      <c r="G1102" s="2" t="s">
        <v>26</v>
      </c>
      <c r="H1102" s="4" t="str">
        <f>HYPERLINK("https://user.guancha.cn/main/content?id=1451536","https://user.guancha.cn/main/content?id=1451536")</f>
        <v>https://user.guancha.cn/main/content?id=1451536</v>
      </c>
      <c r="I1102" s="3" t="s">
        <v>1629</v>
      </c>
      <c r="J1102" t="s">
        <v>16</v>
      </c>
    </row>
    <row r="1103" ht="23" customHeight="1" spans="1:10">
      <c r="A1103" s="2">
        <v>1102</v>
      </c>
      <c r="B1103" s="3" t="s">
        <v>1618</v>
      </c>
      <c r="C1103" s="2" t="s">
        <v>1630</v>
      </c>
      <c r="D1103" s="2" t="s">
        <v>19</v>
      </c>
      <c r="E1103" s="2" t="s">
        <v>317</v>
      </c>
      <c r="F1103" s="2" t="s">
        <v>37</v>
      </c>
      <c r="G1103" s="2" t="s">
        <v>26</v>
      </c>
      <c r="H1103" s="4" t="str">
        <f>HYPERLINK("https://c.m.163.com/news/a/K0LGR0R40519QIKK.html","https://c.m.163.com/news/a/K0LGR0R40519QIKK.html")</f>
        <v>https://c.m.163.com/news/a/K0LGR0R40519QIKK.html</v>
      </c>
      <c r="I1103" s="3" t="s">
        <v>1629</v>
      </c>
      <c r="J1103" t="s">
        <v>16</v>
      </c>
    </row>
    <row r="1104" ht="23" customHeight="1" spans="1:10">
      <c r="A1104" s="2">
        <v>1103</v>
      </c>
      <c r="B1104" s="3" t="s">
        <v>1618</v>
      </c>
      <c r="C1104" s="2" t="s">
        <v>1631</v>
      </c>
      <c r="D1104" s="2" t="s">
        <v>11</v>
      </c>
      <c r="E1104" s="2" t="s">
        <v>317</v>
      </c>
      <c r="F1104" s="2" t="s">
        <v>13</v>
      </c>
      <c r="G1104" s="2" t="s">
        <v>201</v>
      </c>
      <c r="H1104" s="4" t="str">
        <f>HYPERLINK("https://www.toutiao.com/article/7509393023709528614/","https://www.toutiao.com/article/7509393023709528614/")</f>
        <v>https://www.toutiao.com/article/7509393023709528614/</v>
      </c>
      <c r="I1104" s="3" t="s">
        <v>1629</v>
      </c>
      <c r="J1104" t="s">
        <v>16</v>
      </c>
    </row>
    <row r="1105" ht="23" customHeight="1" spans="1:10">
      <c r="A1105" s="2">
        <v>1104</v>
      </c>
      <c r="B1105" s="3" t="s">
        <v>1618</v>
      </c>
      <c r="C1105" s="2" t="s">
        <v>1632</v>
      </c>
      <c r="D1105" s="2" t="s">
        <v>35</v>
      </c>
      <c r="E1105" s="2" t="s">
        <v>317</v>
      </c>
      <c r="F1105" s="2" t="s">
        <v>13</v>
      </c>
      <c r="G1105" s="2" t="s">
        <v>201</v>
      </c>
      <c r="H1105" s="4" t="str">
        <f>HYPERLINK("https://new.qq.com/rain/a/20250528A05TKX00","https://new.qq.com/rain/a/20250528A05TKX00")</f>
        <v>https://new.qq.com/rain/a/20250528A05TKX00</v>
      </c>
      <c r="I1105" s="3" t="s">
        <v>1629</v>
      </c>
      <c r="J1105" t="s">
        <v>16</v>
      </c>
    </row>
    <row r="1106" ht="23" customHeight="1" spans="1:10">
      <c r="A1106" s="2">
        <v>1105</v>
      </c>
      <c r="B1106" s="3" t="s">
        <v>1618</v>
      </c>
      <c r="C1106" s="2" t="s">
        <v>1633</v>
      </c>
      <c r="D1106" s="2" t="s">
        <v>317</v>
      </c>
      <c r="E1106" s="2" t="s">
        <v>317</v>
      </c>
      <c r="F1106" s="2" t="s">
        <v>13</v>
      </c>
      <c r="G1106" s="2" t="s">
        <v>201</v>
      </c>
      <c r="H1106" s="4" t="str">
        <f>HYPERLINK("https://m.jrj.com.cn/madapter/finance/2025/05/28151450709832.shtml","https://m.jrj.com.cn/madapter/finance/2025/05/28151450709832.shtml")</f>
        <v>https://m.jrj.com.cn/madapter/finance/2025/05/28151450709832.shtml</v>
      </c>
      <c r="I1106" s="3" t="s">
        <v>1629</v>
      </c>
      <c r="J1106" t="s">
        <v>16</v>
      </c>
    </row>
    <row r="1107" ht="23" customHeight="1" spans="1:10">
      <c r="A1107" s="2">
        <v>1106</v>
      </c>
      <c r="B1107" s="3" t="s">
        <v>1618</v>
      </c>
      <c r="C1107" s="2" t="s">
        <v>1633</v>
      </c>
      <c r="D1107" s="2" t="s">
        <v>317</v>
      </c>
      <c r="E1107" s="2" t="s">
        <v>317</v>
      </c>
      <c r="F1107" s="2" t="s">
        <v>13</v>
      </c>
      <c r="G1107" s="2" t="s">
        <v>201</v>
      </c>
      <c r="H1107" s="4" t="str">
        <f>HYPERLINK("https://finance.jrj.com.cn/2025/05/28151450709832.shtml","https://finance.jrj.com.cn/2025/05/28151450709832.shtml")</f>
        <v>https://finance.jrj.com.cn/2025/05/28151450709832.shtml</v>
      </c>
      <c r="I1107" s="3" t="s">
        <v>1629</v>
      </c>
      <c r="J1107" t="s">
        <v>16</v>
      </c>
    </row>
    <row r="1108" ht="23" customHeight="1" spans="1:10">
      <c r="A1108" s="2">
        <v>1107</v>
      </c>
      <c r="B1108" s="3" t="s">
        <v>1618</v>
      </c>
      <c r="C1108" s="2" t="s">
        <v>1634</v>
      </c>
      <c r="D1108" s="2" t="s">
        <v>491</v>
      </c>
      <c r="E1108" s="2" t="s">
        <v>317</v>
      </c>
      <c r="F1108" s="2" t="s">
        <v>13</v>
      </c>
      <c r="G1108" s="2" t="s">
        <v>201</v>
      </c>
      <c r="H1108" s="4" t="str">
        <f>HYPERLINK("https://ishare.ifeng.com/c/s/8jizmBqXHJ6","https://ishare.ifeng.com/c/s/8jizmBqXHJ6")</f>
        <v>https://ishare.ifeng.com/c/s/8jizmBqXHJ6</v>
      </c>
      <c r="I1108" s="3" t="s">
        <v>1629</v>
      </c>
      <c r="J1108" t="s">
        <v>16</v>
      </c>
    </row>
    <row r="1109" ht="23" customHeight="1" spans="1:10">
      <c r="A1109" s="2">
        <v>1108</v>
      </c>
      <c r="B1109" s="3" t="s">
        <v>1618</v>
      </c>
      <c r="C1109" s="2" t="s">
        <v>1634</v>
      </c>
      <c r="D1109" s="2" t="s">
        <v>41</v>
      </c>
      <c r="E1109" s="2" t="s">
        <v>317</v>
      </c>
      <c r="F1109" s="2" t="s">
        <v>13</v>
      </c>
      <c r="G1109" s="2" t="s">
        <v>201</v>
      </c>
      <c r="H1109" s="4" t="str">
        <f>HYPERLINK("https://baijiahao.baidu.com/s?id=1833347851487961002","https://baijiahao.baidu.com/s?id=1833347851487961002")</f>
        <v>https://baijiahao.baidu.com/s?id=1833347851487961002</v>
      </c>
      <c r="I1109" s="3" t="s">
        <v>1629</v>
      </c>
      <c r="J1109" t="s">
        <v>16</v>
      </c>
    </row>
    <row r="1110" ht="23" customHeight="1" spans="1:10">
      <c r="A1110" s="2">
        <v>1109</v>
      </c>
      <c r="B1110" s="3" t="s">
        <v>1618</v>
      </c>
      <c r="C1110" s="2" t="s">
        <v>1634</v>
      </c>
      <c r="D1110" s="2" t="s">
        <v>46</v>
      </c>
      <c r="E1110" s="2" t="s">
        <v>317</v>
      </c>
      <c r="F1110" s="2" t="s">
        <v>37</v>
      </c>
      <c r="G1110" s="2" t="s">
        <v>201</v>
      </c>
      <c r="H1110" s="4" t="str">
        <f>HYPERLINK("https://3g.k.sohu.com/t/n893645854?serialId=346a3dbe20b3b56dcfd2609069ab8fb0&amp;showType=893645854","https://3g.k.sohu.com/t/n893645854?serialId=346a3dbe20b3b56dcfd2609069ab8fb0&amp;showType=893645854")</f>
        <v>https://3g.k.sohu.com/t/n893645854?serialId=346a3dbe20b3b56dcfd2609069ab8fb0&amp;showType=893645854</v>
      </c>
      <c r="I1110" s="3" t="s">
        <v>1635</v>
      </c>
      <c r="J1110" t="s">
        <v>16</v>
      </c>
    </row>
    <row r="1111" ht="23" customHeight="1" spans="1:10">
      <c r="A1111" s="2">
        <v>1110</v>
      </c>
      <c r="B1111" s="3" t="s">
        <v>1618</v>
      </c>
      <c r="C1111" s="2" t="s">
        <v>1634</v>
      </c>
      <c r="D1111" s="2" t="s">
        <v>46</v>
      </c>
      <c r="E1111" s="2" t="s">
        <v>317</v>
      </c>
      <c r="F1111" s="2" t="s">
        <v>13</v>
      </c>
      <c r="G1111" s="2" t="s">
        <v>201</v>
      </c>
      <c r="H1111" s="4" t="str">
        <f>HYPERLINK("https://www.sohu.com/a/899449843_114984","https://www.sohu.com/a/899449843_114984")</f>
        <v>https://www.sohu.com/a/899449843_114984</v>
      </c>
      <c r="I1111" s="3" t="s">
        <v>1629</v>
      </c>
      <c r="J1111" t="s">
        <v>16</v>
      </c>
    </row>
    <row r="1112" ht="23" customHeight="1" spans="1:10">
      <c r="A1112" s="2">
        <v>1111</v>
      </c>
      <c r="B1112" s="3" t="s">
        <v>1636</v>
      </c>
      <c r="C1112" s="2" t="s">
        <v>1637</v>
      </c>
      <c r="D1112" s="2" t="s">
        <v>19</v>
      </c>
      <c r="E1112" s="2" t="s">
        <v>20</v>
      </c>
      <c r="F1112" s="2" t="s">
        <v>37</v>
      </c>
      <c r="G1112" s="2" t="s">
        <v>21</v>
      </c>
      <c r="H1112" s="4" t="str">
        <f>HYPERLINK("https://c.m.163.com/news/a/K0JGB60I055040N3.html","https://c.m.163.com/news/a/K0JGB60I055040N3.html")</f>
        <v>https://c.m.163.com/news/a/K0JGB60I055040N3.html</v>
      </c>
      <c r="I1112" s="3" t="s">
        <v>1638</v>
      </c>
      <c r="J1112" t="s">
        <v>16</v>
      </c>
    </row>
    <row r="1113" ht="23" customHeight="1" spans="1:10">
      <c r="A1113" s="2">
        <v>1112</v>
      </c>
      <c r="B1113" s="3" t="s">
        <v>1636</v>
      </c>
      <c r="C1113" s="2" t="s">
        <v>1639</v>
      </c>
      <c r="D1113" s="2" t="s">
        <v>41</v>
      </c>
      <c r="E1113" s="2" t="s">
        <v>20</v>
      </c>
      <c r="F1113" s="2" t="s">
        <v>13</v>
      </c>
      <c r="G1113" s="2" t="s">
        <v>21</v>
      </c>
      <c r="H1113" s="4" t="str">
        <f>HYPERLINK("https://baijiahao.baidu.com/s?id=1833275079365804167","https://baijiahao.baidu.com/s?id=1833275079365804167")</f>
        <v>https://baijiahao.baidu.com/s?id=1833275079365804167</v>
      </c>
      <c r="I1113" s="3" t="s">
        <v>1640</v>
      </c>
      <c r="J1113" t="s">
        <v>16</v>
      </c>
    </row>
    <row r="1114" ht="23" customHeight="1" spans="1:10">
      <c r="A1114" s="2">
        <v>1113</v>
      </c>
      <c r="B1114" s="3" t="s">
        <v>1636</v>
      </c>
      <c r="C1114" s="2" t="s">
        <v>1641</v>
      </c>
      <c r="D1114" s="2" t="s">
        <v>41</v>
      </c>
      <c r="E1114" s="2" t="s">
        <v>126</v>
      </c>
      <c r="F1114" s="2" t="s">
        <v>13</v>
      </c>
      <c r="G1114" s="2" t="s">
        <v>21</v>
      </c>
      <c r="H1114" s="4" t="str">
        <f>HYPERLINK("https://mbd.baidu.com/newspage/data/dtlandingwise?nid=dt_8768169829111197229","https://mbd.baidu.com/newspage/data/dtlandingwise?nid=dt_8768169829111197229")</f>
        <v>https://mbd.baidu.com/newspage/data/dtlandingwise?nid=dt_8768169829111197229</v>
      </c>
      <c r="I1114" s="3" t="s">
        <v>1642</v>
      </c>
      <c r="J1114" t="s">
        <v>16</v>
      </c>
    </row>
    <row r="1115" ht="23" customHeight="1" spans="1:10">
      <c r="A1115" s="2">
        <v>1114</v>
      </c>
      <c r="B1115" s="3" t="s">
        <v>1636</v>
      </c>
      <c r="C1115" s="2" t="s">
        <v>1643</v>
      </c>
      <c r="D1115" s="2" t="s">
        <v>41</v>
      </c>
      <c r="E1115" s="2" t="s">
        <v>126</v>
      </c>
      <c r="F1115" s="2" t="s">
        <v>13</v>
      </c>
      <c r="G1115" s="2" t="s">
        <v>21</v>
      </c>
      <c r="H1115" s="4" t="str">
        <f>HYPERLINK("https://baijiahao.baidu.com/s?id=1833261628841071176","https://baijiahao.baidu.com/s?id=1833261628841071176")</f>
        <v>https://baijiahao.baidu.com/s?id=1833261628841071176</v>
      </c>
      <c r="I1115" s="3" t="s">
        <v>1640</v>
      </c>
      <c r="J1115" t="s">
        <v>16</v>
      </c>
    </row>
    <row r="1116" ht="23" customHeight="1" spans="1:10">
      <c r="A1116" s="2">
        <v>1115</v>
      </c>
      <c r="B1116" s="3" t="s">
        <v>1636</v>
      </c>
      <c r="C1116" s="2" t="s">
        <v>1644</v>
      </c>
      <c r="D1116" s="2" t="s">
        <v>41</v>
      </c>
      <c r="E1116" s="2" t="s">
        <v>20</v>
      </c>
      <c r="F1116" s="2" t="s">
        <v>13</v>
      </c>
      <c r="G1116" s="2" t="s">
        <v>21</v>
      </c>
      <c r="H1116" s="4" t="str">
        <f>HYPERLINK("https://mbd.baidu.com/newspage/data/dtlandingwise?nid=dt_8819976690826992789","https://mbd.baidu.com/newspage/data/dtlandingwise?nid=dt_8819976690826992789")</f>
        <v>https://mbd.baidu.com/newspage/data/dtlandingwise?nid=dt_8819976690826992789</v>
      </c>
      <c r="I1116" s="3" t="s">
        <v>1645</v>
      </c>
      <c r="J1116" t="s">
        <v>16</v>
      </c>
    </row>
    <row r="1117" ht="23" customHeight="1" spans="1:10">
      <c r="A1117" s="2">
        <v>1116</v>
      </c>
      <c r="B1117" s="3" t="s">
        <v>1636</v>
      </c>
      <c r="C1117" s="2" t="s">
        <v>1646</v>
      </c>
      <c r="D1117" s="2" t="s">
        <v>41</v>
      </c>
      <c r="E1117" s="2" t="s">
        <v>20</v>
      </c>
      <c r="F1117" s="2" t="s">
        <v>13</v>
      </c>
      <c r="G1117" s="2" t="s">
        <v>21</v>
      </c>
      <c r="H1117" s="4" t="str">
        <f>HYPERLINK("https://baijiahao.baidu.com/s?id=1833248605027377110","https://baijiahao.baidu.com/s?id=1833248605027377110")</f>
        <v>https://baijiahao.baidu.com/s?id=1833248605027377110</v>
      </c>
      <c r="I1117" s="3" t="s">
        <v>1640</v>
      </c>
      <c r="J1117" t="s">
        <v>16</v>
      </c>
    </row>
    <row r="1118" ht="23" customHeight="1" spans="1:10">
      <c r="A1118" s="2">
        <v>1117</v>
      </c>
      <c r="B1118" s="3" t="s">
        <v>1647</v>
      </c>
      <c r="C1118" s="2" t="s">
        <v>1648</v>
      </c>
      <c r="D1118" s="2" t="s">
        <v>19</v>
      </c>
      <c r="E1118" s="2" t="s">
        <v>20</v>
      </c>
      <c r="F1118" s="2" t="s">
        <v>37</v>
      </c>
      <c r="G1118" s="2" t="s">
        <v>21</v>
      </c>
      <c r="H1118" s="4" t="str">
        <f>HYPERLINK("https://c.m.163.com/news/a/K0GMUH42055040N3.html","https://c.m.163.com/news/a/K0GMUH42055040N3.html")</f>
        <v>https://c.m.163.com/news/a/K0GMUH42055040N3.html</v>
      </c>
      <c r="I1118" s="3" t="s">
        <v>1649</v>
      </c>
      <c r="J1118" t="s">
        <v>16</v>
      </c>
    </row>
    <row r="1119" ht="23" customHeight="1" spans="1:10">
      <c r="A1119" s="2">
        <v>1118</v>
      </c>
      <c r="B1119" s="3" t="s">
        <v>1650</v>
      </c>
      <c r="C1119" s="2" t="s">
        <v>1651</v>
      </c>
      <c r="D1119" s="2" t="s">
        <v>215</v>
      </c>
      <c r="E1119" s="2" t="s">
        <v>215</v>
      </c>
      <c r="F1119" s="2" t="s">
        <v>13</v>
      </c>
      <c r="G1119" s="2" t="s">
        <v>21</v>
      </c>
      <c r="H1119" s="4" t="str">
        <f>HYPERLINK("http://edu.eastday.com/node2/jypd/n5/20250526/u1ai65154.html","http://edu.eastday.com/node2/jypd/n5/20250526/u1ai65154.html")</f>
        <v>http://edu.eastday.com/node2/jypd/n5/20250526/u1ai65154.html</v>
      </c>
      <c r="I1119" s="3" t="s">
        <v>1652</v>
      </c>
      <c r="J1119" t="s">
        <v>16</v>
      </c>
    </row>
    <row r="1120" ht="23" customHeight="1" spans="1:10">
      <c r="A1120" s="2">
        <v>1119</v>
      </c>
      <c r="B1120" s="3" t="s">
        <v>1653</v>
      </c>
      <c r="C1120" s="2" t="s">
        <v>1654</v>
      </c>
      <c r="D1120" s="2" t="s">
        <v>191</v>
      </c>
      <c r="E1120" s="2" t="s">
        <v>191</v>
      </c>
      <c r="F1120" s="2" t="s">
        <v>13</v>
      </c>
      <c r="G1120" s="2" t="s">
        <v>14</v>
      </c>
      <c r="H1120" s="4" t="str">
        <f>HYPERLINK("http://www.sh.chinanews.com.cn/kjjy/2025-05-26/136244.shtml","http://www.sh.chinanews.com.cn/kjjy/2025-05-26/136244.shtml")</f>
        <v>http://www.sh.chinanews.com.cn/kjjy/2025-05-26/136244.shtml</v>
      </c>
      <c r="I1120" s="3" t="s">
        <v>1655</v>
      </c>
      <c r="J1120" t="s">
        <v>16</v>
      </c>
    </row>
    <row r="1121" ht="23" customHeight="1" spans="1:10">
      <c r="A1121" s="2">
        <v>1120</v>
      </c>
      <c r="B1121" s="3" t="s">
        <v>1647</v>
      </c>
      <c r="C1121" s="2" t="s">
        <v>1656</v>
      </c>
      <c r="D1121" s="2" t="s">
        <v>34</v>
      </c>
      <c r="E1121" s="2" t="s">
        <v>32</v>
      </c>
      <c r="F1121" s="2" t="s">
        <v>13</v>
      </c>
      <c r="G1121" s="2" t="s">
        <v>21</v>
      </c>
      <c r="H1121" s="4" t="str">
        <f>HYPERLINK("https://kandianshare.html5.qq.com/v2/news/5588129891467997506","https://kandianshare.html5.qq.com/v2/news/5588129891467997506")</f>
        <v>https://kandianshare.html5.qq.com/v2/news/5588129891467997506</v>
      </c>
      <c r="I1121" s="3" t="s">
        <v>1649</v>
      </c>
      <c r="J1121" t="s">
        <v>16</v>
      </c>
    </row>
    <row r="1122" ht="23" customHeight="1" spans="1:10">
      <c r="A1122" s="2">
        <v>1121</v>
      </c>
      <c r="B1122" s="3" t="s">
        <v>1647</v>
      </c>
      <c r="C1122" s="2" t="s">
        <v>1656</v>
      </c>
      <c r="D1122" s="2" t="s">
        <v>35</v>
      </c>
      <c r="E1122" s="2" t="s">
        <v>32</v>
      </c>
      <c r="F1122" s="2" t="s">
        <v>13</v>
      </c>
      <c r="G1122" s="2" t="s">
        <v>21</v>
      </c>
      <c r="H1122" s="4" t="str">
        <f>HYPERLINK("https://new.qq.com/rain/a/20250526A0739R00","https://new.qq.com/rain/a/20250526A0739R00")</f>
        <v>https://new.qq.com/rain/a/20250526A0739R00</v>
      </c>
      <c r="I1122" s="3" t="s">
        <v>1649</v>
      </c>
      <c r="J1122" t="s">
        <v>16</v>
      </c>
    </row>
    <row r="1123" ht="23" customHeight="1" spans="1:10">
      <c r="A1123" s="2">
        <v>1122</v>
      </c>
      <c r="B1123" s="3" t="s">
        <v>1647</v>
      </c>
      <c r="C1123" s="2" t="s">
        <v>1657</v>
      </c>
      <c r="D1123" s="2" t="s">
        <v>11</v>
      </c>
      <c r="E1123" s="2" t="s">
        <v>20</v>
      </c>
      <c r="F1123" s="2" t="s">
        <v>13</v>
      </c>
      <c r="G1123" s="2" t="s">
        <v>21</v>
      </c>
      <c r="H1123" s="4" t="str">
        <f>HYPERLINK("https://www.toutiao.com/article/7508690545166828086/","https://www.toutiao.com/article/7508690545166828086/")</f>
        <v>https://www.toutiao.com/article/7508690545166828086/</v>
      </c>
      <c r="I1123" s="3" t="s">
        <v>1649</v>
      </c>
      <c r="J1123" t="s">
        <v>16</v>
      </c>
    </row>
    <row r="1124" ht="23" customHeight="1" spans="1:10">
      <c r="A1124" s="2">
        <v>1123</v>
      </c>
      <c r="B1124" s="3" t="s">
        <v>1647</v>
      </c>
      <c r="C1124" s="2" t="s">
        <v>1658</v>
      </c>
      <c r="D1124" s="2" t="s">
        <v>34</v>
      </c>
      <c r="E1124" s="2" t="s">
        <v>20</v>
      </c>
      <c r="F1124" s="2" t="s">
        <v>13</v>
      </c>
      <c r="G1124" s="2" t="s">
        <v>21</v>
      </c>
      <c r="H1124" s="4" t="str">
        <f>HYPERLINK("https://kandianshare.html5.qq.com/v2/news/1471839831781605698","https://kandianshare.html5.qq.com/v2/news/1471839831781605698")</f>
        <v>https://kandianshare.html5.qq.com/v2/news/1471839831781605698</v>
      </c>
      <c r="I1124" s="3" t="s">
        <v>1649</v>
      </c>
      <c r="J1124" t="s">
        <v>16</v>
      </c>
    </row>
    <row r="1125" ht="23" customHeight="1" spans="1:10">
      <c r="A1125" s="2">
        <v>1124</v>
      </c>
      <c r="B1125" s="3" t="s">
        <v>1647</v>
      </c>
      <c r="C1125" s="2" t="s">
        <v>1658</v>
      </c>
      <c r="D1125" s="2" t="s">
        <v>35</v>
      </c>
      <c r="E1125" s="2" t="s">
        <v>20</v>
      </c>
      <c r="F1125" s="2" t="s">
        <v>13</v>
      </c>
      <c r="G1125" s="2" t="s">
        <v>21</v>
      </c>
      <c r="H1125" s="4" t="str">
        <f>HYPERLINK("https://new.qq.com/rain/a/20250526A0722F00","https://new.qq.com/rain/a/20250526A0722F00")</f>
        <v>https://new.qq.com/rain/a/20250526A0722F00</v>
      </c>
      <c r="I1125" s="3" t="s">
        <v>1649</v>
      </c>
      <c r="J1125" t="s">
        <v>16</v>
      </c>
    </row>
    <row r="1126" ht="23" customHeight="1" spans="1:10">
      <c r="A1126" s="2">
        <v>1125</v>
      </c>
      <c r="B1126" s="3" t="s">
        <v>1647</v>
      </c>
      <c r="C1126" s="2" t="s">
        <v>1659</v>
      </c>
      <c r="D1126" s="2" t="s">
        <v>1660</v>
      </c>
      <c r="E1126" s="2" t="s">
        <v>20</v>
      </c>
      <c r="F1126" s="2" t="s">
        <v>37</v>
      </c>
      <c r="G1126" s="2" t="s">
        <v>26</v>
      </c>
      <c r="H1126" s="4" t="str">
        <f>HYPERLINK("http://gu.qq.com/resources/shy/news/detail-v2/index.html#/?id=SN20250526175557a48ccf9d","http://gu.qq.com/resources/shy/news/detail-v2/index.html#/?id=SN20250526175557a48ccf9d")</f>
        <v>http://gu.qq.com/resources/shy/news/detail-v2/index.html#/?id=SN20250526175557a48ccf9d</v>
      </c>
      <c r="I1126" s="3" t="s">
        <v>1649</v>
      </c>
      <c r="J1126" t="s">
        <v>16</v>
      </c>
    </row>
    <row r="1127" ht="23" customHeight="1" spans="1:10">
      <c r="A1127" s="2">
        <v>1126</v>
      </c>
      <c r="B1127" s="3" t="s">
        <v>1647</v>
      </c>
      <c r="C1127" s="2" t="s">
        <v>1659</v>
      </c>
      <c r="D1127" s="2" t="s">
        <v>1660</v>
      </c>
      <c r="E1127" s="2" t="s">
        <v>20</v>
      </c>
      <c r="F1127" s="2" t="s">
        <v>37</v>
      </c>
      <c r="G1127" s="2" t="s">
        <v>26</v>
      </c>
      <c r="H1127" s="4" t="str">
        <f>HYPERLINK("https://gu.qq.com/resources/shy/news/detail-v2/index.html#/?id=SN20250526175557a48ccf9d","https://gu.qq.com/resources/shy/news/detail-v2/index.html#/?id=SN20250526175557a48ccf9d")</f>
        <v>https://gu.qq.com/resources/shy/news/detail-v2/index.html#/?id=SN20250526175557a48ccf9d</v>
      </c>
      <c r="I1127" s="3" t="s">
        <v>1649</v>
      </c>
      <c r="J1127" t="s">
        <v>16</v>
      </c>
    </row>
    <row r="1128" ht="23" customHeight="1" spans="1:10">
      <c r="A1128" s="2">
        <v>1127</v>
      </c>
      <c r="B1128" s="3" t="s">
        <v>1647</v>
      </c>
      <c r="C1128" s="2" t="s">
        <v>1661</v>
      </c>
      <c r="D1128" s="2" t="s">
        <v>41</v>
      </c>
      <c r="E1128" s="2" t="s">
        <v>32</v>
      </c>
      <c r="F1128" s="2" t="s">
        <v>13</v>
      </c>
      <c r="G1128" s="2" t="s">
        <v>21</v>
      </c>
      <c r="H1128" s="4" t="str">
        <f>HYPERLINK("https://baijiahao.baidu.com/s?id=1833176502295697736","https://baijiahao.baidu.com/s?id=1833176502295697736")</f>
        <v>https://baijiahao.baidu.com/s?id=1833176502295697736</v>
      </c>
      <c r="I1128" s="3" t="s">
        <v>1649</v>
      </c>
      <c r="J1128" t="s">
        <v>16</v>
      </c>
    </row>
    <row r="1129" ht="23" customHeight="1" spans="1:10">
      <c r="A1129" s="2">
        <v>1128</v>
      </c>
      <c r="B1129" s="3" t="s">
        <v>1647</v>
      </c>
      <c r="C1129" s="2" t="s">
        <v>1661</v>
      </c>
      <c r="D1129" s="2" t="s">
        <v>46</v>
      </c>
      <c r="E1129" s="2" t="s">
        <v>32</v>
      </c>
      <c r="F1129" s="2" t="s">
        <v>13</v>
      </c>
      <c r="G1129" s="2" t="s">
        <v>21</v>
      </c>
      <c r="H1129" s="4" t="str">
        <f>HYPERLINK("https://www.sohu.com/a/898832931_121286085","https://www.sohu.com/a/898832931_121286085")</f>
        <v>https://www.sohu.com/a/898832931_121286085</v>
      </c>
      <c r="I1129" s="3" t="s">
        <v>1649</v>
      </c>
      <c r="J1129" t="s">
        <v>16</v>
      </c>
    </row>
    <row r="1130" ht="23" customHeight="1" spans="1:10">
      <c r="A1130" s="2">
        <v>1129</v>
      </c>
      <c r="B1130" s="3" t="s">
        <v>1647</v>
      </c>
      <c r="C1130" s="2" t="s">
        <v>1661</v>
      </c>
      <c r="D1130" s="2" t="s">
        <v>46</v>
      </c>
      <c r="E1130" s="2" t="s">
        <v>32</v>
      </c>
      <c r="F1130" s="2" t="s">
        <v>37</v>
      </c>
      <c r="G1130" s="2" t="s">
        <v>21</v>
      </c>
      <c r="H1130" s="4" t="str">
        <f>HYPERLINK("https://3g.k.sohu.com/t/n893249004?serialId=2a20a3bf9390e4643afa2e0c48d76d19&amp;showType=893249004","https://3g.k.sohu.com/t/n893249004?serialId=2a20a3bf9390e4643afa2e0c48d76d19&amp;showType=893249004")</f>
        <v>https://3g.k.sohu.com/t/n893249004?serialId=2a20a3bf9390e4643afa2e0c48d76d19&amp;showType=893249004</v>
      </c>
      <c r="I1130" s="3" t="s">
        <v>1649</v>
      </c>
      <c r="J1130" t="s">
        <v>16</v>
      </c>
    </row>
    <row r="1131" ht="23" customHeight="1" spans="1:10">
      <c r="A1131" s="2">
        <v>1130</v>
      </c>
      <c r="B1131" s="3" t="s">
        <v>1647</v>
      </c>
      <c r="C1131" s="2" t="s">
        <v>1661</v>
      </c>
      <c r="D1131" s="2" t="s">
        <v>43</v>
      </c>
      <c r="E1131" s="2" t="s">
        <v>43</v>
      </c>
      <c r="F1131" s="2" t="s">
        <v>37</v>
      </c>
      <c r="G1131" s="2" t="s">
        <v>21</v>
      </c>
      <c r="H1131" s="4" t="str">
        <f>HYPERLINK("https://export.shobserver.com/baijiahao/html/917390.html","https://export.shobserver.com/baijiahao/html/917390.html")</f>
        <v>https://export.shobserver.com/baijiahao/html/917390.html</v>
      </c>
      <c r="I1131" s="3" t="s">
        <v>1649</v>
      </c>
      <c r="J1131" t="s">
        <v>16</v>
      </c>
    </row>
    <row r="1132" ht="23" customHeight="1" spans="1:10">
      <c r="A1132" s="2">
        <v>1131</v>
      </c>
      <c r="B1132" s="3" t="s">
        <v>1647</v>
      </c>
      <c r="C1132" s="2" t="s">
        <v>1661</v>
      </c>
      <c r="D1132" s="2" t="s">
        <v>41</v>
      </c>
      <c r="E1132" s="2" t="s">
        <v>20</v>
      </c>
      <c r="F1132" s="2" t="s">
        <v>13</v>
      </c>
      <c r="G1132" s="2" t="s">
        <v>21</v>
      </c>
      <c r="H1132" s="4" t="str">
        <f>HYPERLINK("https://baijiahao.baidu.com/s?id=1833176364889286800","https://baijiahao.baidu.com/s?id=1833176364889286800")</f>
        <v>https://baijiahao.baidu.com/s?id=1833176364889286800</v>
      </c>
      <c r="I1132" s="3" t="s">
        <v>1649</v>
      </c>
      <c r="J1132" t="s">
        <v>16</v>
      </c>
    </row>
    <row r="1133" ht="23" customHeight="1" spans="1:10">
      <c r="A1133" s="2">
        <v>1132</v>
      </c>
      <c r="B1133" s="3" t="s">
        <v>1662</v>
      </c>
      <c r="C1133" s="2" t="s">
        <v>1663</v>
      </c>
      <c r="D1133" s="2" t="s">
        <v>19</v>
      </c>
      <c r="E1133" s="2" t="s">
        <v>71</v>
      </c>
      <c r="F1133" s="2" t="s">
        <v>37</v>
      </c>
      <c r="G1133" s="2" t="s">
        <v>21</v>
      </c>
      <c r="H1133" s="4" t="str">
        <f>HYPERLINK("https://c.m.163.com/news/a/K0GIDSJV053469KO.html","https://c.m.163.com/news/a/K0GIDSJV053469KO.html")</f>
        <v>https://c.m.163.com/news/a/K0GIDSJV053469KO.html</v>
      </c>
      <c r="I1133" s="3" t="s">
        <v>1664</v>
      </c>
      <c r="J1133" t="s">
        <v>16</v>
      </c>
    </row>
    <row r="1134" ht="23" customHeight="1" spans="1:10">
      <c r="A1134" s="2">
        <v>1133</v>
      </c>
      <c r="B1134" s="3" t="s">
        <v>1662</v>
      </c>
      <c r="C1134" s="2" t="s">
        <v>1665</v>
      </c>
      <c r="D1134" s="2" t="s">
        <v>29</v>
      </c>
      <c r="E1134" s="2" t="s">
        <v>71</v>
      </c>
      <c r="F1134" s="2" t="s">
        <v>13</v>
      </c>
      <c r="G1134" s="2" t="s">
        <v>21</v>
      </c>
      <c r="H1134" s="4" t="str">
        <f>HYPERLINK("https://finance.sina.cn/2025-05-26/detail-inexwtay1025665.d.html","https://finance.sina.cn/2025-05-26/detail-inexwtay1025665.d.html")</f>
        <v>https://finance.sina.cn/2025-05-26/detail-inexwtay1025665.d.html</v>
      </c>
      <c r="I1134" s="3" t="s">
        <v>1664</v>
      </c>
      <c r="J1134" t="s">
        <v>16</v>
      </c>
    </row>
    <row r="1135" ht="23" customHeight="1" spans="1:10">
      <c r="A1135" s="2">
        <v>1134</v>
      </c>
      <c r="B1135" s="3" t="s">
        <v>1662</v>
      </c>
      <c r="C1135" s="2" t="s">
        <v>1665</v>
      </c>
      <c r="D1135" s="2" t="s">
        <v>1660</v>
      </c>
      <c r="E1135" s="2" t="s">
        <v>71</v>
      </c>
      <c r="F1135" s="2" t="s">
        <v>37</v>
      </c>
      <c r="G1135" s="2" t="s">
        <v>26</v>
      </c>
      <c r="H1135" s="4" t="str">
        <f>HYPERLINK("http://gu.qq.com/resources/shy/news/detail-v2/index.html#/?id=SN202505261710439502e78c","http://gu.qq.com/resources/shy/news/detail-v2/index.html#/?id=SN202505261710439502e78c")</f>
        <v>http://gu.qq.com/resources/shy/news/detail-v2/index.html#/?id=SN202505261710439502e78c</v>
      </c>
      <c r="I1135" s="3" t="s">
        <v>1664</v>
      </c>
      <c r="J1135" t="s">
        <v>16</v>
      </c>
    </row>
    <row r="1136" ht="23" customHeight="1" spans="1:10">
      <c r="A1136" s="2">
        <v>1135</v>
      </c>
      <c r="B1136" s="3" t="s">
        <v>1662</v>
      </c>
      <c r="C1136" s="2" t="s">
        <v>1665</v>
      </c>
      <c r="D1136" s="2" t="s">
        <v>71</v>
      </c>
      <c r="E1136" s="2" t="s">
        <v>1666</v>
      </c>
      <c r="F1136" s="2" t="s">
        <v>13</v>
      </c>
      <c r="G1136" s="2" t="s">
        <v>21</v>
      </c>
      <c r="H1136" s="4" t="str">
        <f>HYPERLINK("https://j.eastday.com/p/1748249514047631","https://j.eastday.com/p/1748249514047631")</f>
        <v>https://j.eastday.com/p/1748249514047631</v>
      </c>
      <c r="I1136" s="3" t="s">
        <v>1664</v>
      </c>
      <c r="J1136" t="s">
        <v>16</v>
      </c>
    </row>
    <row r="1137" ht="23" customHeight="1" spans="1:10">
      <c r="A1137" s="2">
        <v>1136</v>
      </c>
      <c r="B1137" s="3" t="s">
        <v>1662</v>
      </c>
      <c r="C1137" s="2" t="s">
        <v>1665</v>
      </c>
      <c r="D1137" s="2" t="s">
        <v>334</v>
      </c>
      <c r="E1137" s="2" t="s">
        <v>1666</v>
      </c>
      <c r="F1137" s="2" t="s">
        <v>37</v>
      </c>
      <c r="G1137" s="2" t="s">
        <v>26</v>
      </c>
      <c r="H1137" s="4" t="str">
        <f>HYPERLINK("https://j.021east.com/m/1748249514047631","https://j.021east.com/m/1748249514047631")</f>
        <v>https://j.021east.com/m/1748249514047631</v>
      </c>
      <c r="I1137" s="3" t="s">
        <v>1664</v>
      </c>
      <c r="J1137" t="s">
        <v>16</v>
      </c>
    </row>
    <row r="1138" ht="23" customHeight="1" spans="1:10">
      <c r="A1138" s="2">
        <v>1137</v>
      </c>
      <c r="B1138" s="3" t="s">
        <v>1662</v>
      </c>
      <c r="C1138" s="2" t="s">
        <v>1667</v>
      </c>
      <c r="D1138" s="2" t="s">
        <v>46</v>
      </c>
      <c r="E1138" s="2" t="s">
        <v>71</v>
      </c>
      <c r="F1138" s="2" t="s">
        <v>37</v>
      </c>
      <c r="G1138" s="2" t="s">
        <v>21</v>
      </c>
      <c r="H1138" s="4" t="str">
        <f>HYPERLINK("https://3g.k.sohu.com/t/n893258414?serialId=5f24879d4b2a25107d8063ea2a33fa40&amp;showType=893258414","https://3g.k.sohu.com/t/n893258414?serialId=5f24879d4b2a25107d8063ea2a33fa40&amp;showType=893258414")</f>
        <v>https://3g.k.sohu.com/t/n893258414?serialId=5f24879d4b2a25107d8063ea2a33fa40&amp;showType=893258414</v>
      </c>
      <c r="I1138" s="3" t="s">
        <v>1664</v>
      </c>
      <c r="J1138" t="s">
        <v>16</v>
      </c>
    </row>
    <row r="1139" ht="23" customHeight="1" spans="1:10">
      <c r="A1139" s="2">
        <v>1138</v>
      </c>
      <c r="B1139" s="3" t="s">
        <v>1662</v>
      </c>
      <c r="C1139" s="2" t="s">
        <v>1667</v>
      </c>
      <c r="D1139" s="2" t="s">
        <v>46</v>
      </c>
      <c r="E1139" s="2" t="s">
        <v>71</v>
      </c>
      <c r="F1139" s="2" t="s">
        <v>13</v>
      </c>
      <c r="G1139" s="2" t="s">
        <v>21</v>
      </c>
      <c r="H1139" s="4" t="str">
        <f>HYPERLINK("https://www.sohu.com/a/898802657_120823584","https://www.sohu.com/a/898802657_120823584")</f>
        <v>https://www.sohu.com/a/898802657_120823584</v>
      </c>
      <c r="I1139" s="3" t="s">
        <v>1664</v>
      </c>
      <c r="J1139" t="s">
        <v>16</v>
      </c>
    </row>
    <row r="1140" ht="23" customHeight="1" spans="1:10">
      <c r="A1140" s="2">
        <v>1139</v>
      </c>
      <c r="B1140" s="3" t="s">
        <v>1668</v>
      </c>
      <c r="C1140" s="2" t="s">
        <v>1669</v>
      </c>
      <c r="D1140" s="2" t="s">
        <v>262</v>
      </c>
      <c r="E1140" s="2" t="s">
        <v>262</v>
      </c>
      <c r="F1140" s="2" t="s">
        <v>13</v>
      </c>
      <c r="G1140" s="2" t="s">
        <v>21</v>
      </c>
      <c r="H1140" s="4" t="str">
        <f>HYPERLINK("https://www.shanghai.gov.cn/nw31406/20250526/d2405a5aa71242efbd66cbb50da3d816.html","https://www.shanghai.gov.cn/nw31406/20250526/d2405a5aa71242efbd66cbb50da3d816.html")</f>
        <v>https://www.shanghai.gov.cn/nw31406/20250526/d2405a5aa71242efbd66cbb50da3d816.html</v>
      </c>
      <c r="I1140" s="3" t="s">
        <v>1670</v>
      </c>
      <c r="J1140" t="s">
        <v>16</v>
      </c>
    </row>
    <row r="1141" ht="23" customHeight="1" spans="1:10">
      <c r="A1141" s="2">
        <v>1140</v>
      </c>
      <c r="B1141" s="3" t="s">
        <v>1671</v>
      </c>
      <c r="C1141" s="2" t="s">
        <v>1672</v>
      </c>
      <c r="D1141" s="2" t="s">
        <v>71</v>
      </c>
      <c r="E1141" s="2" t="s">
        <v>71</v>
      </c>
      <c r="F1141" s="2" t="s">
        <v>13</v>
      </c>
      <c r="G1141" s="2" t="s">
        <v>21</v>
      </c>
      <c r="H1141" s="4" t="str">
        <f>HYPERLINK("http://edu.eastday.com/node2/jypd/n5/20250526/u1ai65143.html","http://edu.eastday.com/node2/jypd/n5/20250526/u1ai65143.html")</f>
        <v>http://edu.eastday.com/node2/jypd/n5/20250526/u1ai65143.html</v>
      </c>
      <c r="I1141" s="3" t="s">
        <v>1673</v>
      </c>
      <c r="J1141" t="s">
        <v>16</v>
      </c>
    </row>
    <row r="1142" ht="23" customHeight="1" spans="1:10">
      <c r="A1142" s="2">
        <v>1141</v>
      </c>
      <c r="B1142" s="3" t="s">
        <v>1674</v>
      </c>
      <c r="C1142" s="2" t="s">
        <v>1675</v>
      </c>
      <c r="D1142" s="2" t="s">
        <v>19</v>
      </c>
      <c r="E1142" s="2" t="s">
        <v>20</v>
      </c>
      <c r="F1142" s="2" t="s">
        <v>37</v>
      </c>
      <c r="G1142" s="2" t="s">
        <v>21</v>
      </c>
      <c r="H1142" s="4" t="str">
        <f>HYPERLINK("https://c.m.163.com/news/a/K0DFR1UJ055040N3.html","https://c.m.163.com/news/a/K0DFR1UJ055040N3.html")</f>
        <v>https://c.m.163.com/news/a/K0DFR1UJ055040N3.html</v>
      </c>
      <c r="I1142" s="3" t="s">
        <v>1676</v>
      </c>
      <c r="J1142" t="s">
        <v>16</v>
      </c>
    </row>
    <row r="1143" ht="23" customHeight="1" spans="1:10">
      <c r="A1143" s="2">
        <v>1142</v>
      </c>
      <c r="B1143" s="3" t="s">
        <v>1677</v>
      </c>
      <c r="C1143" s="2" t="s">
        <v>1678</v>
      </c>
      <c r="D1143" s="2" t="s">
        <v>635</v>
      </c>
      <c r="E1143" s="2" t="s">
        <v>132</v>
      </c>
      <c r="F1143" s="2" t="s">
        <v>13</v>
      </c>
      <c r="G1143" s="2" t="s">
        <v>26</v>
      </c>
      <c r="H1143" s="4" t="str">
        <f>HYPERLINK("http://www.myzaker.com/article/683296038e9f09369e3591e5","http://www.myzaker.com/article/683296038e9f09369e3591e5")</f>
        <v>http://www.myzaker.com/article/683296038e9f09369e3591e5</v>
      </c>
      <c r="I1143" s="3" t="s">
        <v>1679</v>
      </c>
      <c r="J1143" t="s">
        <v>16</v>
      </c>
    </row>
    <row r="1144" ht="23" customHeight="1" spans="1:10">
      <c r="A1144" s="2">
        <v>1143</v>
      </c>
      <c r="B1144" s="3" t="s">
        <v>1680</v>
      </c>
      <c r="C1144" s="2" t="s">
        <v>1681</v>
      </c>
      <c r="D1144" s="2" t="s">
        <v>428</v>
      </c>
      <c r="E1144" s="2" t="s">
        <v>1682</v>
      </c>
      <c r="F1144" s="2" t="s">
        <v>13</v>
      </c>
      <c r="G1144" s="2" t="s">
        <v>14</v>
      </c>
      <c r="H1144" s="4" t="str">
        <f>HYPERLINK("https://article.xuexi.cn/articles/index.html?art_id=6012792978606705925&amp;cdn=https://region-shanghai-resource","https://article.xuexi.cn/articles/index.html?art_id=6012792978606705925&amp;cdn=https://region-shanghai-resource")</f>
        <v>https://article.xuexi.cn/articles/index.html?art_id=6012792978606705925&amp;cdn=https://region-shanghai-resource</v>
      </c>
      <c r="I1144" s="3" t="s">
        <v>1683</v>
      </c>
      <c r="J1144" t="s">
        <v>16</v>
      </c>
    </row>
    <row r="1145" ht="23" customHeight="1" spans="1:10">
      <c r="A1145" s="2">
        <v>1144</v>
      </c>
      <c r="B1145" s="3" t="s">
        <v>1684</v>
      </c>
      <c r="C1145" s="2" t="s">
        <v>1685</v>
      </c>
      <c r="D1145" s="2" t="s">
        <v>19</v>
      </c>
      <c r="E1145" s="2" t="s">
        <v>135</v>
      </c>
      <c r="F1145" s="2" t="s">
        <v>37</v>
      </c>
      <c r="G1145" s="2" t="s">
        <v>21</v>
      </c>
      <c r="H1145" s="4" t="str">
        <f>HYPERLINK("https://c.m.163.com/news/a/K0DE659D05506BEH.html","https://c.m.163.com/news/a/K0DE659D05506BEH.html")</f>
        <v>https://c.m.163.com/news/a/K0DE659D05506BEH.html</v>
      </c>
      <c r="I1145" s="3" t="s">
        <v>1683</v>
      </c>
      <c r="J1145" t="s">
        <v>16</v>
      </c>
    </row>
    <row r="1146" ht="23" customHeight="1" spans="1:10">
      <c r="A1146" s="2">
        <v>1145</v>
      </c>
      <c r="B1146" s="3" t="s">
        <v>1674</v>
      </c>
      <c r="C1146" s="2" t="s">
        <v>1686</v>
      </c>
      <c r="D1146" s="2" t="s">
        <v>11</v>
      </c>
      <c r="E1146" s="2" t="s">
        <v>20</v>
      </c>
      <c r="F1146" s="2" t="s">
        <v>13</v>
      </c>
      <c r="G1146" s="2" t="s">
        <v>21</v>
      </c>
      <c r="H1146" s="4" t="str">
        <f>HYPERLINK("https://www.toutiao.com/article/7508227442901811764/","https://www.toutiao.com/article/7508227442901811764/")</f>
        <v>https://www.toutiao.com/article/7508227442901811764/</v>
      </c>
      <c r="I1146" s="3" t="s">
        <v>1683</v>
      </c>
      <c r="J1146" t="s">
        <v>16</v>
      </c>
    </row>
    <row r="1147" ht="23" customHeight="1" spans="1:10">
      <c r="A1147" s="2">
        <v>1146</v>
      </c>
      <c r="B1147" s="3" t="s">
        <v>1687</v>
      </c>
      <c r="C1147" s="2" t="s">
        <v>1688</v>
      </c>
      <c r="D1147" s="2" t="s">
        <v>34</v>
      </c>
      <c r="E1147" s="2" t="s">
        <v>20</v>
      </c>
      <c r="F1147" s="2" t="s">
        <v>13</v>
      </c>
      <c r="G1147" s="2" t="s">
        <v>21</v>
      </c>
      <c r="H1147" s="4" t="str">
        <f>HYPERLINK("https://kandianshare.html5.qq.com/v2/news/1363753214689374530","https://kandianshare.html5.qq.com/v2/news/1363753214689374530")</f>
        <v>https://kandianshare.html5.qq.com/v2/news/1363753214689374530</v>
      </c>
      <c r="I1147" s="3" t="s">
        <v>1683</v>
      </c>
      <c r="J1147" t="s">
        <v>16</v>
      </c>
    </row>
    <row r="1148" ht="23" customHeight="1" spans="1:10">
      <c r="A1148" s="2">
        <v>1147</v>
      </c>
      <c r="B1148" s="3" t="s">
        <v>1684</v>
      </c>
      <c r="C1148" s="2" t="s">
        <v>1688</v>
      </c>
      <c r="D1148" s="2" t="s">
        <v>35</v>
      </c>
      <c r="E1148" s="2" t="s">
        <v>20</v>
      </c>
      <c r="F1148" s="2" t="s">
        <v>13</v>
      </c>
      <c r="G1148" s="2" t="s">
        <v>21</v>
      </c>
      <c r="H1148" s="4" t="str">
        <f>HYPERLINK("https://new.qq.com/rain/a/20250525A03LNU00","https://new.qq.com/rain/a/20250525A03LNU00")</f>
        <v>https://new.qq.com/rain/a/20250525A03LNU00</v>
      </c>
      <c r="I1148" s="3" t="s">
        <v>1683</v>
      </c>
      <c r="J1148" t="s">
        <v>16</v>
      </c>
    </row>
    <row r="1149" ht="23" customHeight="1" spans="1:10">
      <c r="A1149" s="2">
        <v>1148</v>
      </c>
      <c r="B1149" s="3" t="s">
        <v>1687</v>
      </c>
      <c r="C1149" s="2" t="s">
        <v>1689</v>
      </c>
      <c r="D1149" s="2" t="s">
        <v>40</v>
      </c>
      <c r="E1149" s="2" t="s">
        <v>135</v>
      </c>
      <c r="F1149" s="2" t="s">
        <v>13</v>
      </c>
      <c r="G1149" s="2" t="s">
        <v>21</v>
      </c>
      <c r="H1149" s="4" t="str">
        <f>HYPERLINK("https://www.yoojia.com/article/8647157961506162621.html","https://www.yoojia.com/article/8647157961506162621.html")</f>
        <v>https://www.yoojia.com/article/8647157961506162621.html</v>
      </c>
      <c r="I1149" s="3" t="s">
        <v>1683</v>
      </c>
      <c r="J1149" t="s">
        <v>16</v>
      </c>
    </row>
    <row r="1150" ht="23" customHeight="1" spans="1:10">
      <c r="A1150" s="2">
        <v>1149</v>
      </c>
      <c r="B1150" s="3" t="s">
        <v>1687</v>
      </c>
      <c r="C1150" s="2" t="s">
        <v>1690</v>
      </c>
      <c r="D1150" s="2" t="s">
        <v>41</v>
      </c>
      <c r="E1150" s="2" t="s">
        <v>135</v>
      </c>
      <c r="F1150" s="2" t="s">
        <v>13</v>
      </c>
      <c r="G1150" s="2" t="s">
        <v>21</v>
      </c>
      <c r="H1150" s="4" t="str">
        <f>HYPERLINK("https://mbd.baidu.com/newspage/data/dtlandingwise?nid=dt_8647157961506162621","https://mbd.baidu.com/newspage/data/dtlandingwise?nid=dt_8647157961506162621")</f>
        <v>https://mbd.baidu.com/newspage/data/dtlandingwise?nid=dt_8647157961506162621</v>
      </c>
      <c r="I1150" s="3" t="s">
        <v>1691</v>
      </c>
      <c r="J1150" t="s">
        <v>16</v>
      </c>
    </row>
    <row r="1151" ht="23" customHeight="1" spans="1:10">
      <c r="A1151" s="2">
        <v>1150</v>
      </c>
      <c r="B1151" s="3" t="s">
        <v>1684</v>
      </c>
      <c r="C1151" s="2" t="s">
        <v>1690</v>
      </c>
      <c r="D1151" s="2" t="s">
        <v>43</v>
      </c>
      <c r="E1151" s="2" t="s">
        <v>1692</v>
      </c>
      <c r="F1151" s="2" t="s">
        <v>13</v>
      </c>
      <c r="G1151" s="2" t="s">
        <v>21</v>
      </c>
      <c r="H1151" s="4" t="str">
        <f>HYPERLINK("https://www.jfdaily.com.cn/staticsg/res/html/web/newsDetail.html?id=916574","https://www.jfdaily.com.cn/staticsg/res/html/web/newsDetail.html?id=916574")</f>
        <v>https://www.jfdaily.com.cn/staticsg/res/html/web/newsDetail.html?id=916574</v>
      </c>
      <c r="I1151" s="3" t="s">
        <v>1683</v>
      </c>
      <c r="J1151" t="s">
        <v>16</v>
      </c>
    </row>
    <row r="1152" ht="23" customHeight="1" spans="1:10">
      <c r="A1152" s="2">
        <v>1151</v>
      </c>
      <c r="B1152" s="3" t="s">
        <v>1687</v>
      </c>
      <c r="C1152" s="2" t="s">
        <v>1693</v>
      </c>
      <c r="D1152" s="2" t="s">
        <v>41</v>
      </c>
      <c r="E1152" s="2" t="s">
        <v>135</v>
      </c>
      <c r="F1152" s="2" t="s">
        <v>13</v>
      </c>
      <c r="G1152" s="2" t="s">
        <v>21</v>
      </c>
      <c r="H1152" s="4" t="str">
        <f>HYPERLINK("https://baijiahao.baidu.com/s?id=1833063316892073141","https://baijiahao.baidu.com/s?id=1833063316892073141")</f>
        <v>https://baijiahao.baidu.com/s?id=1833063316892073141</v>
      </c>
      <c r="I1152" s="3" t="s">
        <v>1683</v>
      </c>
      <c r="J1152" t="s">
        <v>16</v>
      </c>
    </row>
    <row r="1153" ht="23" customHeight="1" spans="1:10">
      <c r="A1153" s="2">
        <v>1152</v>
      </c>
      <c r="B1153" s="3" t="s">
        <v>1684</v>
      </c>
      <c r="C1153" s="2" t="s">
        <v>1693</v>
      </c>
      <c r="D1153" s="2" t="s">
        <v>41</v>
      </c>
      <c r="E1153" s="2" t="s">
        <v>20</v>
      </c>
      <c r="F1153" s="2" t="s">
        <v>13</v>
      </c>
      <c r="G1153" s="2" t="s">
        <v>21</v>
      </c>
      <c r="H1153" s="4" t="str">
        <f>HYPERLINK("https://baijiahao.baidu.com/s?id=1833063321930815405","https://baijiahao.baidu.com/s?id=1833063321930815405")</f>
        <v>https://baijiahao.baidu.com/s?id=1833063321930815405</v>
      </c>
      <c r="I1153" s="3" t="s">
        <v>1683</v>
      </c>
      <c r="J1153" t="s">
        <v>16</v>
      </c>
    </row>
    <row r="1154" ht="23" customHeight="1" spans="1:10">
      <c r="A1154" s="2">
        <v>1153</v>
      </c>
      <c r="B1154" s="3" t="s">
        <v>1684</v>
      </c>
      <c r="C1154" s="2" t="s">
        <v>1693</v>
      </c>
      <c r="D1154" s="2" t="s">
        <v>71</v>
      </c>
      <c r="E1154" s="2" t="s">
        <v>71</v>
      </c>
      <c r="F1154" s="2" t="s">
        <v>13</v>
      </c>
      <c r="G1154" s="2" t="s">
        <v>21</v>
      </c>
      <c r="H1154" s="4" t="str">
        <f>HYPERLINK("https://j.eastday.com/p/1748150238046680","https://j.eastday.com/p/1748150238046680")</f>
        <v>https://j.eastday.com/p/1748150238046680</v>
      </c>
      <c r="I1154" s="3" t="s">
        <v>1683</v>
      </c>
      <c r="J1154" t="s">
        <v>16</v>
      </c>
    </row>
    <row r="1155" ht="23" customHeight="1" spans="1:10">
      <c r="A1155" s="2">
        <v>1154</v>
      </c>
      <c r="B1155" s="3" t="s">
        <v>1684</v>
      </c>
      <c r="C1155" s="2" t="s">
        <v>1693</v>
      </c>
      <c r="D1155" s="2" t="s">
        <v>334</v>
      </c>
      <c r="E1155" s="2" t="s">
        <v>334</v>
      </c>
      <c r="F1155" s="2" t="s">
        <v>37</v>
      </c>
      <c r="G1155" s="2" t="s">
        <v>26</v>
      </c>
      <c r="H1155" s="4" t="str">
        <f>HYPERLINK("https://j.021east.com/m/1748150238046680","https://j.021east.com/m/1748150238046680")</f>
        <v>https://j.021east.com/m/1748150238046680</v>
      </c>
      <c r="I1155" s="3" t="s">
        <v>1683</v>
      </c>
      <c r="J1155" t="s">
        <v>16</v>
      </c>
    </row>
    <row r="1156" ht="23" customHeight="1" spans="1:10">
      <c r="A1156" s="2">
        <v>1155</v>
      </c>
      <c r="B1156" s="3" t="s">
        <v>1684</v>
      </c>
      <c r="C1156" s="2" t="s">
        <v>1693</v>
      </c>
      <c r="D1156" s="2" t="s">
        <v>43</v>
      </c>
      <c r="E1156" s="2" t="s">
        <v>43</v>
      </c>
      <c r="F1156" s="2" t="s">
        <v>37</v>
      </c>
      <c r="G1156" s="2" t="s">
        <v>21</v>
      </c>
      <c r="H1156" s="4" t="str">
        <f>HYPERLINK("https://export.shobserver.com/baijiahao/html/916574.html","https://export.shobserver.com/baijiahao/html/916574.html")</f>
        <v>https://export.shobserver.com/baijiahao/html/916574.html</v>
      </c>
      <c r="I1156" s="3" t="s">
        <v>1683</v>
      </c>
      <c r="J1156" t="s">
        <v>16</v>
      </c>
    </row>
    <row r="1157" ht="23" customHeight="1" spans="1:10">
      <c r="A1157" s="2">
        <v>1156</v>
      </c>
      <c r="B1157" s="3" t="s">
        <v>1684</v>
      </c>
      <c r="C1157" s="2" t="s">
        <v>1693</v>
      </c>
      <c r="D1157" s="2" t="s">
        <v>46</v>
      </c>
      <c r="E1157" s="2" t="s">
        <v>135</v>
      </c>
      <c r="F1157" s="2" t="s">
        <v>13</v>
      </c>
      <c r="G1157" s="2" t="s">
        <v>21</v>
      </c>
      <c r="H1157" s="4" t="str">
        <f>HYPERLINK("https://www.sohu.com/a/898483985_120244154","https://www.sohu.com/a/898483985_120244154")</f>
        <v>https://www.sohu.com/a/898483985_120244154</v>
      </c>
      <c r="I1157" s="3" t="s">
        <v>1683</v>
      </c>
      <c r="J1157" t="s">
        <v>16</v>
      </c>
    </row>
    <row r="1158" ht="23" customHeight="1" spans="1:10">
      <c r="A1158" s="2">
        <v>1157</v>
      </c>
      <c r="B1158" s="3" t="s">
        <v>1684</v>
      </c>
      <c r="C1158" s="2" t="s">
        <v>1693</v>
      </c>
      <c r="D1158" s="2" t="s">
        <v>43</v>
      </c>
      <c r="E1158" s="2" t="s">
        <v>1692</v>
      </c>
      <c r="F1158" s="2" t="s">
        <v>13</v>
      </c>
      <c r="G1158" s="2" t="s">
        <v>21</v>
      </c>
      <c r="H1158" s="4" t="str">
        <f>HYPERLINK("https://www.jfdaily.com/staticsg/res/html/web/newsDetail.html?id=916574","https://www.jfdaily.com/staticsg/res/html/web/newsDetail.html?id=916574")</f>
        <v>https://www.jfdaily.com/staticsg/res/html/web/newsDetail.html?id=916574</v>
      </c>
      <c r="I1158" s="3" t="s">
        <v>1683</v>
      </c>
      <c r="J1158" t="s">
        <v>16</v>
      </c>
    </row>
    <row r="1159" ht="23" customHeight="1" spans="1:10">
      <c r="A1159" s="2">
        <v>1158</v>
      </c>
      <c r="B1159" s="3" t="s">
        <v>1684</v>
      </c>
      <c r="C1159" s="2" t="s">
        <v>1693</v>
      </c>
      <c r="D1159" s="2" t="s">
        <v>491</v>
      </c>
      <c r="E1159" s="2" t="s">
        <v>649</v>
      </c>
      <c r="F1159" s="2" t="s">
        <v>13</v>
      </c>
      <c r="G1159" s="2" t="s">
        <v>21</v>
      </c>
      <c r="H1159" s="4" t="str">
        <f>HYPERLINK("https://ishare.ifeng.com/c/s/8jdmfM3liLa","https://ishare.ifeng.com/c/s/8jdmfM3liLa")</f>
        <v>https://ishare.ifeng.com/c/s/8jdmfM3liLa</v>
      </c>
      <c r="I1159" s="3" t="s">
        <v>1683</v>
      </c>
      <c r="J1159" t="s">
        <v>16</v>
      </c>
    </row>
    <row r="1160" ht="23" customHeight="1" spans="1:10">
      <c r="A1160" s="2">
        <v>1159</v>
      </c>
      <c r="B1160" s="3" t="s">
        <v>1684</v>
      </c>
      <c r="C1160" s="2" t="s">
        <v>1693</v>
      </c>
      <c r="D1160" s="2" t="s">
        <v>46</v>
      </c>
      <c r="E1160" s="2" t="s">
        <v>135</v>
      </c>
      <c r="F1160" s="2" t="s">
        <v>37</v>
      </c>
      <c r="G1160" s="2" t="s">
        <v>21</v>
      </c>
      <c r="H1160" s="4" t="str">
        <f>HYPERLINK("https://3g.k.sohu.com/t/n892934050?serialId=46d662557cca9423bce65e75e658b3a5&amp;showType=892934050","https://3g.k.sohu.com/t/n892934050?serialId=46d662557cca9423bce65e75e658b3a5&amp;showType=892934050")</f>
        <v>https://3g.k.sohu.com/t/n892934050?serialId=46d662557cca9423bce65e75e658b3a5&amp;showType=892934050</v>
      </c>
      <c r="I1160" s="3" t="s">
        <v>1683</v>
      </c>
      <c r="J1160" t="s">
        <v>16</v>
      </c>
    </row>
    <row r="1161" ht="23" customHeight="1" spans="1:10">
      <c r="A1161" s="2">
        <v>1160</v>
      </c>
      <c r="B1161" s="3" t="s">
        <v>1694</v>
      </c>
      <c r="C1161" s="2" t="s">
        <v>1695</v>
      </c>
      <c r="D1161" s="2" t="s">
        <v>41</v>
      </c>
      <c r="E1161" s="2" t="s">
        <v>20</v>
      </c>
      <c r="F1161" s="2" t="s">
        <v>13</v>
      </c>
      <c r="G1161" s="2" t="s">
        <v>21</v>
      </c>
      <c r="H1161" s="4" t="str">
        <f>HYPERLINK("https://mbd.baidu.com/newspage/data/dtlandingwise?nid=dt_9475752570056581762","https://mbd.baidu.com/newspage/data/dtlandingwise?nid=dt_9475752570056581762")</f>
        <v>https://mbd.baidu.com/newspage/data/dtlandingwise?nid=dt_9475752570056581762</v>
      </c>
      <c r="I1161" s="3" t="s">
        <v>1696</v>
      </c>
      <c r="J1161" t="s">
        <v>16</v>
      </c>
    </row>
    <row r="1162" ht="23" customHeight="1" spans="1:10">
      <c r="A1162" s="2">
        <v>1161</v>
      </c>
      <c r="B1162" s="3" t="s">
        <v>1694</v>
      </c>
      <c r="C1162" s="2" t="s">
        <v>1697</v>
      </c>
      <c r="D1162" s="2" t="s">
        <v>41</v>
      </c>
      <c r="E1162" s="2" t="s">
        <v>20</v>
      </c>
      <c r="F1162" s="2" t="s">
        <v>13</v>
      </c>
      <c r="G1162" s="2" t="s">
        <v>21</v>
      </c>
      <c r="H1162" s="4" t="str">
        <f>HYPERLINK("https://baijiahao.baidu.com/s?id=1832993720826743552","https://baijiahao.baidu.com/s?id=1832993720826743552")</f>
        <v>https://baijiahao.baidu.com/s?id=1832993720826743552</v>
      </c>
      <c r="I1162" s="3" t="s">
        <v>1698</v>
      </c>
      <c r="J1162" t="s">
        <v>16</v>
      </c>
    </row>
    <row r="1163" ht="23" customHeight="1" spans="1:10">
      <c r="A1163" s="2">
        <v>1162</v>
      </c>
      <c r="B1163" s="3" t="s">
        <v>1699</v>
      </c>
      <c r="C1163" s="2" t="s">
        <v>1700</v>
      </c>
      <c r="D1163" s="2" t="s">
        <v>34</v>
      </c>
      <c r="E1163" s="2" t="s">
        <v>159</v>
      </c>
      <c r="F1163" s="2" t="s">
        <v>13</v>
      </c>
      <c r="G1163" s="2" t="s">
        <v>21</v>
      </c>
      <c r="H1163" s="4" t="str">
        <f>HYPERLINK("https://kandianshare.html5.qq.com/v2/news/8137166740139686210","https://kandianshare.html5.qq.com/v2/news/8137166740139686210")</f>
        <v>https://kandianshare.html5.qq.com/v2/news/8137166740139686210</v>
      </c>
      <c r="I1163" s="3" t="s">
        <v>1701</v>
      </c>
      <c r="J1163" t="s">
        <v>16</v>
      </c>
    </row>
    <row r="1164" ht="23" customHeight="1" spans="1:10">
      <c r="A1164" s="2">
        <v>1163</v>
      </c>
      <c r="B1164" s="3" t="s">
        <v>1699</v>
      </c>
      <c r="C1164" s="2" t="s">
        <v>1700</v>
      </c>
      <c r="D1164" s="2" t="s">
        <v>35</v>
      </c>
      <c r="E1164" s="2" t="s">
        <v>159</v>
      </c>
      <c r="F1164" s="2" t="s">
        <v>13</v>
      </c>
      <c r="G1164" s="2" t="s">
        <v>21</v>
      </c>
      <c r="H1164" s="4" t="str">
        <f>HYPERLINK("https://new.qq.com/rain/a/20250523A0842Z00","https://new.qq.com/rain/a/20250523A0842Z00")</f>
        <v>https://new.qq.com/rain/a/20250523A0842Z00</v>
      </c>
      <c r="I1164" s="3" t="s">
        <v>1701</v>
      </c>
      <c r="J1164" t="s">
        <v>16</v>
      </c>
    </row>
    <row r="1165" ht="23" customHeight="1" spans="1:10">
      <c r="A1165" s="2">
        <v>1164</v>
      </c>
      <c r="B1165" s="3" t="s">
        <v>1699</v>
      </c>
      <c r="C1165" s="2" t="s">
        <v>1702</v>
      </c>
      <c r="D1165" s="2" t="s">
        <v>41</v>
      </c>
      <c r="E1165" s="2" t="s">
        <v>159</v>
      </c>
      <c r="F1165" s="2" t="s">
        <v>13</v>
      </c>
      <c r="G1165" s="2" t="s">
        <v>21</v>
      </c>
      <c r="H1165" s="4" t="str">
        <f>HYPERLINK("https://mbd.baidu.com/newspage/data/dtlandingwise?nid=dt_9875177274525136090","https://mbd.baidu.com/newspage/data/dtlandingwise?nid=dt_9875177274525136090")</f>
        <v>https://mbd.baidu.com/newspage/data/dtlandingwise?nid=dt_9875177274525136090</v>
      </c>
      <c r="I1165" s="3" t="s">
        <v>1703</v>
      </c>
      <c r="J1165" t="s">
        <v>16</v>
      </c>
    </row>
    <row r="1166" ht="23" customHeight="1" spans="1:10">
      <c r="A1166" s="2">
        <v>1165</v>
      </c>
      <c r="B1166" s="3" t="s">
        <v>1699</v>
      </c>
      <c r="C1166" s="2" t="s">
        <v>1704</v>
      </c>
      <c r="D1166" s="2" t="s">
        <v>41</v>
      </c>
      <c r="E1166" s="2" t="s">
        <v>159</v>
      </c>
      <c r="F1166" s="2" t="s">
        <v>13</v>
      </c>
      <c r="G1166" s="2" t="s">
        <v>21</v>
      </c>
      <c r="H1166" s="4" t="str">
        <f>HYPERLINK("https://baijiahao.baidu.com/s?id=1832905812767778844","https://baijiahao.baidu.com/s?id=1832905812767778844")</f>
        <v>https://baijiahao.baidu.com/s?id=1832905812767778844</v>
      </c>
      <c r="I1166" s="3" t="s">
        <v>1705</v>
      </c>
      <c r="J1166" t="s">
        <v>16</v>
      </c>
    </row>
    <row r="1167" ht="23" customHeight="1" spans="1:10">
      <c r="A1167" s="2">
        <v>1166</v>
      </c>
      <c r="B1167" s="3" t="s">
        <v>1699</v>
      </c>
      <c r="C1167" s="2" t="s">
        <v>1704</v>
      </c>
      <c r="D1167" s="2" t="s">
        <v>40</v>
      </c>
      <c r="E1167" s="2" t="s">
        <v>159</v>
      </c>
      <c r="F1167" s="2" t="s">
        <v>13</v>
      </c>
      <c r="G1167" s="2" t="s">
        <v>21</v>
      </c>
      <c r="H1167" s="4" t="str">
        <f>HYPERLINK("https://www.yoojia.com/article/9875177274525136090.html","https://www.yoojia.com/article/9875177274525136090.html")</f>
        <v>https://www.yoojia.com/article/9875177274525136090.html</v>
      </c>
      <c r="I1167" s="3" t="s">
        <v>1701</v>
      </c>
      <c r="J1167" t="s">
        <v>16</v>
      </c>
    </row>
    <row r="1168" ht="23" customHeight="1" spans="1:10">
      <c r="A1168" s="2">
        <v>1167</v>
      </c>
      <c r="B1168" s="3" t="s">
        <v>1699</v>
      </c>
      <c r="C1168" s="2" t="s">
        <v>1706</v>
      </c>
      <c r="D1168" s="2" t="s">
        <v>159</v>
      </c>
      <c r="E1168" s="2" t="s">
        <v>164</v>
      </c>
      <c r="F1168" s="2" t="s">
        <v>13</v>
      </c>
      <c r="G1168" s="2" t="s">
        <v>21</v>
      </c>
      <c r="H1168" s="4" t="str">
        <f>HYPERLINK("https://static.zhoudaosh.com/files/cnews/2025/20250523/142416EAF5D098EF0AE375170D15C77438CC06C921CB2B041662B383D5B6B1C2/1.html","https://static.zhoudaosh.com/files/cnews/2025/20250523/142416EAF5D098EF0AE375170D15C77438CC06C921CB2B041662B383D5B6B1C2/1.html")</f>
        <v>https://static.zhoudaosh.com/files/cnews/2025/20250523/142416EAF5D098EF0AE375170D15C77438CC06C921CB2B041662B383D5B6B1C2/1.html</v>
      </c>
      <c r="I1168" s="3" t="s">
        <v>1701</v>
      </c>
      <c r="J1168" t="s">
        <v>16</v>
      </c>
    </row>
    <row r="1169" ht="23" customHeight="1" spans="1:10">
      <c r="A1169" s="2">
        <v>1168</v>
      </c>
      <c r="B1169" s="3" t="s">
        <v>1707</v>
      </c>
      <c r="C1169" s="2" t="s">
        <v>1708</v>
      </c>
      <c r="D1169" s="2" t="s">
        <v>215</v>
      </c>
      <c r="E1169" s="2" t="s">
        <v>215</v>
      </c>
      <c r="F1169" s="2" t="s">
        <v>13</v>
      </c>
      <c r="G1169" s="2" t="s">
        <v>21</v>
      </c>
      <c r="H1169" s="4" t="str">
        <f>HYPERLINK("http://edu.eastday.com/node2/jypd/n5/20250523/u1ai65111.html","http://edu.eastday.com/node2/jypd/n5/20250523/u1ai65111.html")</f>
        <v>http://edu.eastday.com/node2/jypd/n5/20250523/u1ai65111.html</v>
      </c>
      <c r="I1169" s="3" t="s">
        <v>1709</v>
      </c>
      <c r="J1169" t="s">
        <v>16</v>
      </c>
    </row>
    <row r="1170" ht="23" customHeight="1" spans="1:10">
      <c r="A1170" s="2">
        <v>1169</v>
      </c>
      <c r="B1170" s="3" t="s">
        <v>1710</v>
      </c>
      <c r="C1170" s="2" t="s">
        <v>1711</v>
      </c>
      <c r="D1170" s="2" t="s">
        <v>41</v>
      </c>
      <c r="E1170" s="2" t="s">
        <v>716</v>
      </c>
      <c r="F1170" s="2" t="s">
        <v>13</v>
      </c>
      <c r="G1170" s="2" t="s">
        <v>26</v>
      </c>
      <c r="H1170" s="4" t="str">
        <f>HYPERLINK("https://baijiahao.baidu.com/s?id=1832812036950667484","https://baijiahao.baidu.com/s?id=1832812036950667484")</f>
        <v>https://baijiahao.baidu.com/s?id=1832812036950667484</v>
      </c>
      <c r="I1170" s="3" t="s">
        <v>1712</v>
      </c>
      <c r="J1170" t="s">
        <v>16</v>
      </c>
    </row>
    <row r="1171" ht="23" customHeight="1" spans="1:10">
      <c r="A1171" s="2">
        <v>1170</v>
      </c>
      <c r="B1171" s="3" t="s">
        <v>1710</v>
      </c>
      <c r="C1171" s="2" t="s">
        <v>1713</v>
      </c>
      <c r="D1171" s="2" t="s">
        <v>11</v>
      </c>
      <c r="E1171" s="2" t="s">
        <v>1714</v>
      </c>
      <c r="F1171" s="2" t="s">
        <v>13</v>
      </c>
      <c r="G1171" s="2" t="s">
        <v>21</v>
      </c>
      <c r="H1171" s="4" t="str">
        <f>HYPERLINK("https://www.toutiao.com/article/7507172555271373324/","https://www.toutiao.com/article/7507172555271373324/")</f>
        <v>https://www.toutiao.com/article/7507172555271373324/</v>
      </c>
      <c r="I1171" s="3" t="s">
        <v>1712</v>
      </c>
      <c r="J1171" t="s">
        <v>16</v>
      </c>
    </row>
    <row r="1172" ht="23" customHeight="1" spans="1:10">
      <c r="A1172" s="2">
        <v>1171</v>
      </c>
      <c r="B1172" s="3" t="s">
        <v>1710</v>
      </c>
      <c r="C1172" s="2" t="s">
        <v>1715</v>
      </c>
      <c r="D1172" s="2" t="s">
        <v>1716</v>
      </c>
      <c r="E1172" s="2" t="s">
        <v>1717</v>
      </c>
      <c r="F1172" s="2" t="s">
        <v>37</v>
      </c>
      <c r="G1172" s="2" t="s">
        <v>26</v>
      </c>
      <c r="H1172" s="4" t="str">
        <f>HYPERLINK("https://www.51ldb.com/shsldb/hq/content/0196f6bb5bc5c0010000d7c90f012edc.htm","https://www.51ldb.com/shsldb/hq/content/0196f6bb5bc5c0010000d7c90f012edc.htm")</f>
        <v>https://www.51ldb.com/shsldb/hq/content/0196f6bb5bc5c0010000d7c90f012edc.htm</v>
      </c>
      <c r="I1172" s="3" t="s">
        <v>1718</v>
      </c>
      <c r="J1172" t="s">
        <v>16</v>
      </c>
    </row>
    <row r="1173" ht="23" customHeight="1" spans="1:10">
      <c r="A1173" s="2">
        <v>1172</v>
      </c>
      <c r="B1173" s="3" t="s">
        <v>1710</v>
      </c>
      <c r="C1173" s="2" t="s">
        <v>1719</v>
      </c>
      <c r="D1173" s="2" t="s">
        <v>41</v>
      </c>
      <c r="E1173" s="2" t="s">
        <v>1714</v>
      </c>
      <c r="F1173" s="2" t="s">
        <v>13</v>
      </c>
      <c r="G1173" s="2" t="s">
        <v>21</v>
      </c>
      <c r="H1173" s="4" t="str">
        <f>HYPERLINK("https://baijiahao.baidu.com/s?id=1832806847574456748","https://baijiahao.baidu.com/s?id=1832806847574456748")</f>
        <v>https://baijiahao.baidu.com/s?id=1832806847574456748</v>
      </c>
      <c r="I1173" s="3" t="s">
        <v>1712</v>
      </c>
      <c r="J1173" t="s">
        <v>16</v>
      </c>
    </row>
    <row r="1174" ht="23" customHeight="1" spans="1:10">
      <c r="A1174" s="2">
        <v>1173</v>
      </c>
      <c r="B1174" s="3" t="s">
        <v>1710</v>
      </c>
      <c r="C1174" s="2" t="s">
        <v>1719</v>
      </c>
      <c r="D1174" s="2" t="s">
        <v>1714</v>
      </c>
      <c r="E1174" s="2" t="s">
        <v>1717</v>
      </c>
      <c r="F1174" s="2" t="s">
        <v>13</v>
      </c>
      <c r="G1174" s="2" t="s">
        <v>21</v>
      </c>
      <c r="H1174" s="4" t="str">
        <f>HYPERLINK("https://www.51ldb.com/shsldb/hq/content/0196f6bb5bc5c0010000d7c90f012edc.html","https://www.51ldb.com/shsldb/hq/content/0196f6bb5bc5c0010000d7c90f012edc.html")</f>
        <v>https://www.51ldb.com/shsldb/hq/content/0196f6bb5bc5c0010000d7c90f012edc.html</v>
      </c>
      <c r="I1174" s="3" t="s">
        <v>1718</v>
      </c>
      <c r="J1174" t="s">
        <v>16</v>
      </c>
    </row>
    <row r="1175" ht="23" customHeight="1" spans="1:10">
      <c r="A1175" s="2">
        <v>1174</v>
      </c>
      <c r="B1175" s="3" t="s">
        <v>1710</v>
      </c>
      <c r="C1175" s="2" t="s">
        <v>1719</v>
      </c>
      <c r="D1175" s="2" t="s">
        <v>1714</v>
      </c>
      <c r="E1175" s="2" t="s">
        <v>1717</v>
      </c>
      <c r="F1175" s="2" t="s">
        <v>13</v>
      </c>
      <c r="G1175" s="2" t="s">
        <v>21</v>
      </c>
      <c r="H1175" s="4" t="str">
        <f>HYPERLINK("https://wap.51ldb.com/shsldb/hq/content/0196f6bb5bc5c0010000d7c90f012edc.html","https://wap.51ldb.com/shsldb/hq/content/0196f6bb5bc5c0010000d7c90f012edc.html")</f>
        <v>https://wap.51ldb.com/shsldb/hq/content/0196f6bb5bc5c0010000d7c90f012edc.html</v>
      </c>
      <c r="I1175" s="3" t="s">
        <v>1720</v>
      </c>
      <c r="J1175" t="s">
        <v>16</v>
      </c>
    </row>
    <row r="1176" ht="23" customHeight="1" spans="1:10">
      <c r="A1176" s="2">
        <v>1175</v>
      </c>
      <c r="B1176" s="3" t="s">
        <v>1710</v>
      </c>
      <c r="C1176" s="2" t="s">
        <v>1719</v>
      </c>
      <c r="D1176" s="2" t="s">
        <v>46</v>
      </c>
      <c r="E1176" s="2" t="s">
        <v>1721</v>
      </c>
      <c r="F1176" s="2" t="s">
        <v>37</v>
      </c>
      <c r="G1176" s="2" t="s">
        <v>21</v>
      </c>
      <c r="H1176" s="4" t="str">
        <f>HYPERLINK("https://3g.k.sohu.com/t/n892123764?serialId=bf361c114c4223b9288e28320dc5afe8&amp;showType=892123764","https://3g.k.sohu.com/t/n892123764?serialId=bf361c114c4223b9288e28320dc5afe8&amp;showType=892123764")</f>
        <v>https://3g.k.sohu.com/t/n892123764?serialId=bf361c114c4223b9288e28320dc5afe8&amp;showType=892123764</v>
      </c>
      <c r="I1176" s="3" t="s">
        <v>1722</v>
      </c>
      <c r="J1176" t="s">
        <v>16</v>
      </c>
    </row>
    <row r="1177" ht="23" customHeight="1" spans="1:10">
      <c r="A1177" s="2">
        <v>1176</v>
      </c>
      <c r="B1177" s="3" t="s">
        <v>1710</v>
      </c>
      <c r="C1177" s="2" t="s">
        <v>1719</v>
      </c>
      <c r="D1177" s="2" t="s">
        <v>41</v>
      </c>
      <c r="E1177" s="2" t="s">
        <v>1723</v>
      </c>
      <c r="F1177" s="2" t="s">
        <v>13</v>
      </c>
      <c r="G1177" s="2" t="s">
        <v>21</v>
      </c>
      <c r="H1177" s="4" t="str">
        <f>HYPERLINK("https://baijiahao.baidu.com/s?id=1832813326537715923","https://baijiahao.baidu.com/s?id=1832813326537715923")</f>
        <v>https://baijiahao.baidu.com/s?id=1832813326537715923</v>
      </c>
      <c r="I1177" s="3" t="s">
        <v>1712</v>
      </c>
      <c r="J1177" t="s">
        <v>16</v>
      </c>
    </row>
    <row r="1178" ht="23" customHeight="1" spans="1:10">
      <c r="A1178" s="2">
        <v>1177</v>
      </c>
      <c r="B1178" s="3" t="s">
        <v>1724</v>
      </c>
      <c r="C1178" s="2" t="s">
        <v>1725</v>
      </c>
      <c r="D1178" s="2" t="s">
        <v>19</v>
      </c>
      <c r="E1178" s="2" t="s">
        <v>317</v>
      </c>
      <c r="F1178" s="2" t="s">
        <v>37</v>
      </c>
      <c r="G1178" s="2" t="s">
        <v>26</v>
      </c>
      <c r="H1178" s="4" t="str">
        <f>HYPERLINK("https://c.m.163.com/news/a/K05UCHDL0519QIKK.html","https://c.m.163.com/news/a/K05UCHDL0519QIKK.html")</f>
        <v>https://c.m.163.com/news/a/K05UCHDL0519QIKK.html</v>
      </c>
      <c r="I1178" s="3" t="s">
        <v>1726</v>
      </c>
      <c r="J1178" t="s">
        <v>16</v>
      </c>
    </row>
    <row r="1179" ht="23" customHeight="1" spans="1:10">
      <c r="A1179" s="2">
        <v>1178</v>
      </c>
      <c r="B1179" s="3" t="s">
        <v>1724</v>
      </c>
      <c r="C1179" s="2" t="s">
        <v>1727</v>
      </c>
      <c r="D1179" s="2" t="s">
        <v>11</v>
      </c>
      <c r="E1179" s="2" t="s">
        <v>317</v>
      </c>
      <c r="F1179" s="2" t="s">
        <v>13</v>
      </c>
      <c r="G1179" s="2" t="s">
        <v>201</v>
      </c>
      <c r="H1179" s="4" t="str">
        <f>HYPERLINK("https://www.toutiao.com/article/7507147929719718435/","https://www.toutiao.com/article/7507147929719718435/")</f>
        <v>https://www.toutiao.com/article/7507147929719718435/</v>
      </c>
      <c r="I1179" s="3" t="s">
        <v>1726</v>
      </c>
      <c r="J1179" t="s">
        <v>16</v>
      </c>
    </row>
    <row r="1180" ht="23" customHeight="1" spans="1:10">
      <c r="A1180" s="2">
        <v>1179</v>
      </c>
      <c r="B1180" s="3" t="s">
        <v>1724</v>
      </c>
      <c r="C1180" s="2" t="s">
        <v>1728</v>
      </c>
      <c r="D1180" s="2" t="s">
        <v>317</v>
      </c>
      <c r="E1180" s="2" t="s">
        <v>980</v>
      </c>
      <c r="F1180" s="2" t="s">
        <v>13</v>
      </c>
      <c r="G1180" s="2" t="s">
        <v>26</v>
      </c>
      <c r="H1180" s="4" t="str">
        <f>HYPERLINK("https://finance.jrj.com.cn/2025/05/22135050585346.shtml","https://finance.jrj.com.cn/2025/05/22135050585346.shtml")</f>
        <v>https://finance.jrj.com.cn/2025/05/22135050585346.shtml</v>
      </c>
      <c r="I1180" s="3" t="s">
        <v>1726</v>
      </c>
      <c r="J1180" t="s">
        <v>16</v>
      </c>
    </row>
    <row r="1181" ht="23" customHeight="1" spans="1:10">
      <c r="A1181" s="2">
        <v>1180</v>
      </c>
      <c r="B1181" s="3" t="s">
        <v>1724</v>
      </c>
      <c r="C1181" s="2" t="s">
        <v>1728</v>
      </c>
      <c r="D1181" s="2" t="s">
        <v>317</v>
      </c>
      <c r="E1181" s="2" t="s">
        <v>317</v>
      </c>
      <c r="F1181" s="2" t="s">
        <v>13</v>
      </c>
      <c r="G1181" s="2" t="s">
        <v>201</v>
      </c>
      <c r="H1181" s="4" t="str">
        <f>HYPERLINK("https://m.jrj.com.cn/madapter/finance/2025/05/22135050585346.shtml","https://m.jrj.com.cn/madapter/finance/2025/05/22135050585346.shtml")</f>
        <v>https://m.jrj.com.cn/madapter/finance/2025/05/22135050585346.shtml</v>
      </c>
      <c r="I1181" s="3" t="s">
        <v>1726</v>
      </c>
      <c r="J1181" t="s">
        <v>16</v>
      </c>
    </row>
    <row r="1182" ht="23" customHeight="1" spans="1:10">
      <c r="A1182" s="2">
        <v>1181</v>
      </c>
      <c r="B1182" s="3" t="s">
        <v>1724</v>
      </c>
      <c r="C1182" s="2" t="s">
        <v>1729</v>
      </c>
      <c r="D1182" s="2" t="s">
        <v>46</v>
      </c>
      <c r="E1182" s="2" t="s">
        <v>317</v>
      </c>
      <c r="F1182" s="2" t="s">
        <v>13</v>
      </c>
      <c r="G1182" s="2" t="s">
        <v>201</v>
      </c>
      <c r="H1182" s="4" t="str">
        <f>HYPERLINK("https://www.sohu.com/a/897670458_114984","https://www.sohu.com/a/897670458_114984")</f>
        <v>https://www.sohu.com/a/897670458_114984</v>
      </c>
      <c r="I1182" s="3" t="s">
        <v>1726</v>
      </c>
      <c r="J1182" t="s">
        <v>16</v>
      </c>
    </row>
    <row r="1183" ht="23" customHeight="1" spans="1:10">
      <c r="A1183" s="2">
        <v>1182</v>
      </c>
      <c r="B1183" s="3" t="s">
        <v>1724</v>
      </c>
      <c r="C1183" s="2" t="s">
        <v>1729</v>
      </c>
      <c r="D1183" s="2" t="s">
        <v>46</v>
      </c>
      <c r="E1183" s="2" t="s">
        <v>317</v>
      </c>
      <c r="F1183" s="2" t="s">
        <v>37</v>
      </c>
      <c r="G1183" s="2" t="s">
        <v>201</v>
      </c>
      <c r="H1183" s="4" t="str">
        <f>HYPERLINK("https://3g.k.sohu.com/t/n891692040?serialId=d9fe60c1578afcb71e13fa1238c253cd&amp;showType=891692040","https://3g.k.sohu.com/t/n891692040?serialId=d9fe60c1578afcb71e13fa1238c253cd&amp;showType=891692040")</f>
        <v>https://3g.k.sohu.com/t/n891692040?serialId=d9fe60c1578afcb71e13fa1238c253cd&amp;showType=891692040</v>
      </c>
      <c r="I1183" s="3" t="s">
        <v>1726</v>
      </c>
      <c r="J1183" t="s">
        <v>16</v>
      </c>
    </row>
    <row r="1184" ht="23" customHeight="1" spans="1:10">
      <c r="A1184" s="2">
        <v>1183</v>
      </c>
      <c r="B1184" s="3" t="s">
        <v>1730</v>
      </c>
      <c r="C1184" s="2" t="s">
        <v>1731</v>
      </c>
      <c r="D1184" s="2" t="s">
        <v>41</v>
      </c>
      <c r="E1184" s="2" t="s">
        <v>126</v>
      </c>
      <c r="F1184" s="2" t="s">
        <v>13</v>
      </c>
      <c r="G1184" s="2" t="s">
        <v>21</v>
      </c>
      <c r="H1184" s="4" t="str">
        <f>HYPERLINK("https://mbd.baidu.com/newspage/data/dtlandingwise?nid=dt_10607840288073797227","https://mbd.baidu.com/newspage/data/dtlandingwise?nid=dt_10607840288073797227")</f>
        <v>https://mbd.baidu.com/newspage/data/dtlandingwise?nid=dt_10607840288073797227</v>
      </c>
      <c r="I1184" s="3" t="s">
        <v>1732</v>
      </c>
      <c r="J1184" t="s">
        <v>16</v>
      </c>
    </row>
    <row r="1185" ht="23" customHeight="1" spans="1:10">
      <c r="A1185" s="2">
        <v>1184</v>
      </c>
      <c r="B1185" s="3" t="s">
        <v>1730</v>
      </c>
      <c r="C1185" s="2" t="s">
        <v>1733</v>
      </c>
      <c r="D1185" s="2" t="s">
        <v>41</v>
      </c>
      <c r="E1185" s="2" t="s">
        <v>126</v>
      </c>
      <c r="F1185" s="2" t="s">
        <v>13</v>
      </c>
      <c r="G1185" s="2" t="s">
        <v>21</v>
      </c>
      <c r="H1185" s="4" t="str">
        <f>HYPERLINK("https://baijiahao.baidu.com/s?id=1832763469287684969","https://baijiahao.baidu.com/s?id=1832763469287684969")</f>
        <v>https://baijiahao.baidu.com/s?id=1832763469287684969</v>
      </c>
      <c r="I1185" s="3" t="s">
        <v>1734</v>
      </c>
      <c r="J1185" t="s">
        <v>16</v>
      </c>
    </row>
    <row r="1186" ht="23" customHeight="1" spans="1:10">
      <c r="A1186" s="2">
        <v>1185</v>
      </c>
      <c r="B1186" s="3" t="s">
        <v>1735</v>
      </c>
      <c r="C1186" s="2" t="s">
        <v>1736</v>
      </c>
      <c r="D1186" s="2" t="s">
        <v>262</v>
      </c>
      <c r="E1186" s="2" t="s">
        <v>262</v>
      </c>
      <c r="F1186" s="2" t="s">
        <v>13</v>
      </c>
      <c r="G1186" s="2" t="s">
        <v>21</v>
      </c>
      <c r="H1186" s="4" t="str">
        <f>HYPERLINK("https://www.shanghai.gov.cn/nw31406/20250523/07d54a14067142d5b9c350876ffcf050.html","https://www.shanghai.gov.cn/nw31406/20250523/07d54a14067142d5b9c350876ffcf050.html")</f>
        <v>https://www.shanghai.gov.cn/nw31406/20250523/07d54a14067142d5b9c350876ffcf050.html</v>
      </c>
      <c r="I1186" s="3" t="s">
        <v>1737</v>
      </c>
      <c r="J1186" t="s">
        <v>16</v>
      </c>
    </row>
    <row r="1187" ht="23" customHeight="1" spans="1:10">
      <c r="A1187" s="2">
        <v>1186</v>
      </c>
      <c r="B1187" s="3" t="s">
        <v>1730</v>
      </c>
      <c r="C1187" s="2" t="s">
        <v>1738</v>
      </c>
      <c r="D1187" s="2" t="s">
        <v>41</v>
      </c>
      <c r="E1187" s="2" t="s">
        <v>20</v>
      </c>
      <c r="F1187" s="2" t="s">
        <v>13</v>
      </c>
      <c r="G1187" s="2" t="s">
        <v>21</v>
      </c>
      <c r="H1187" s="4" t="str">
        <f>HYPERLINK("https://mbd.baidu.com/newspage/data/dtlandingwise?nid=dt_8784344126076831715","https://mbd.baidu.com/newspage/data/dtlandingwise?nid=dt_8784344126076831715")</f>
        <v>https://mbd.baidu.com/newspage/data/dtlandingwise?nid=dt_8784344126076831715</v>
      </c>
      <c r="I1187" s="3" t="s">
        <v>1739</v>
      </c>
      <c r="J1187" t="s">
        <v>16</v>
      </c>
    </row>
    <row r="1188" ht="23" customHeight="1" spans="1:10">
      <c r="A1188" s="2">
        <v>1187</v>
      </c>
      <c r="B1188" s="3" t="s">
        <v>1730</v>
      </c>
      <c r="C1188" s="2" t="s">
        <v>1740</v>
      </c>
      <c r="D1188" s="2" t="s">
        <v>41</v>
      </c>
      <c r="E1188" s="2" t="s">
        <v>20</v>
      </c>
      <c r="F1188" s="2" t="s">
        <v>13</v>
      </c>
      <c r="G1188" s="2" t="s">
        <v>21</v>
      </c>
      <c r="H1188" s="4" t="str">
        <f>HYPERLINK("https://baijiahao.baidu.com/s?id=1832740833001627127","https://baijiahao.baidu.com/s?id=1832740833001627127")</f>
        <v>https://baijiahao.baidu.com/s?id=1832740833001627127</v>
      </c>
      <c r="I1188" s="3" t="s">
        <v>1734</v>
      </c>
      <c r="J1188" t="s">
        <v>16</v>
      </c>
    </row>
    <row r="1189" ht="23" customHeight="1" spans="1:10">
      <c r="A1189" s="2">
        <v>1188</v>
      </c>
      <c r="B1189" s="3" t="s">
        <v>1741</v>
      </c>
      <c r="C1189" s="2" t="s">
        <v>1742</v>
      </c>
      <c r="D1189" s="2" t="s">
        <v>41</v>
      </c>
      <c r="E1189" s="2" t="s">
        <v>20</v>
      </c>
      <c r="F1189" s="2" t="s">
        <v>13</v>
      </c>
      <c r="G1189" s="2" t="s">
        <v>21</v>
      </c>
      <c r="H1189" s="4" t="str">
        <f>HYPERLINK("https://baijiahao.baidu.com/s?id=1832695608117613547","https://baijiahao.baidu.com/s?id=1832695608117613547")</f>
        <v>https://baijiahao.baidu.com/s?id=1832695608117613547</v>
      </c>
      <c r="I1189" s="3" t="s">
        <v>1743</v>
      </c>
      <c r="J1189" t="s">
        <v>16</v>
      </c>
    </row>
    <row r="1190" ht="23" customHeight="1" spans="1:10">
      <c r="A1190" s="2">
        <v>1189</v>
      </c>
      <c r="B1190" s="3" t="s">
        <v>1741</v>
      </c>
      <c r="C1190" s="2" t="s">
        <v>1744</v>
      </c>
      <c r="D1190" s="2" t="s">
        <v>71</v>
      </c>
      <c r="E1190" s="2" t="s">
        <v>71</v>
      </c>
      <c r="F1190" s="2" t="s">
        <v>13</v>
      </c>
      <c r="G1190" s="2" t="s">
        <v>21</v>
      </c>
      <c r="H1190" s="4" t="str">
        <f>HYPERLINK("https://j.eastday.com/p/1747796735043325","https://j.eastday.com/p/1747796735043325")</f>
        <v>https://j.eastday.com/p/1747796735043325</v>
      </c>
      <c r="I1190" s="3" t="s">
        <v>1743</v>
      </c>
      <c r="J1190" t="s">
        <v>16</v>
      </c>
    </row>
    <row r="1191" ht="23" customHeight="1" spans="1:10">
      <c r="A1191" s="2">
        <v>1190</v>
      </c>
      <c r="B1191" s="3" t="s">
        <v>1741</v>
      </c>
      <c r="C1191" s="2" t="s">
        <v>1744</v>
      </c>
      <c r="D1191" s="2" t="s">
        <v>215</v>
      </c>
      <c r="E1191" s="2" t="s">
        <v>215</v>
      </c>
      <c r="F1191" s="2" t="s">
        <v>13</v>
      </c>
      <c r="G1191" s="2" t="s">
        <v>21</v>
      </c>
      <c r="H1191" s="4" t="str">
        <f>HYPERLINK("http://edu.eastday.com/node2/jypd/n5/20250521/u1ai65079.html","http://edu.eastday.com/node2/jypd/n5/20250521/u1ai65079.html")</f>
        <v>http://edu.eastday.com/node2/jypd/n5/20250521/u1ai65079.html</v>
      </c>
      <c r="I1191" s="3" t="s">
        <v>1743</v>
      </c>
      <c r="J1191" t="s">
        <v>16</v>
      </c>
    </row>
    <row r="1192" ht="23" customHeight="1" spans="1:10">
      <c r="A1192" s="2">
        <v>1191</v>
      </c>
      <c r="B1192" s="3" t="s">
        <v>1741</v>
      </c>
      <c r="C1192" s="2" t="s">
        <v>1744</v>
      </c>
      <c r="D1192" s="2" t="s">
        <v>334</v>
      </c>
      <c r="E1192" s="2" t="s">
        <v>334</v>
      </c>
      <c r="F1192" s="2" t="s">
        <v>37</v>
      </c>
      <c r="G1192" s="2" t="s">
        <v>26</v>
      </c>
      <c r="H1192" s="4" t="str">
        <f>HYPERLINK("https://j.021east.com/m/1747796735043325","https://j.021east.com/m/1747796735043325")</f>
        <v>https://j.021east.com/m/1747796735043325</v>
      </c>
      <c r="I1192" s="3" t="s">
        <v>1743</v>
      </c>
      <c r="J1192" t="s">
        <v>16</v>
      </c>
    </row>
    <row r="1193" ht="23" customHeight="1" spans="1:10">
      <c r="A1193" s="2">
        <v>1192</v>
      </c>
      <c r="B1193" s="3" t="s">
        <v>1741</v>
      </c>
      <c r="C1193" s="2" t="s">
        <v>1745</v>
      </c>
      <c r="D1193" s="2" t="s">
        <v>46</v>
      </c>
      <c r="E1193" s="2" t="s">
        <v>71</v>
      </c>
      <c r="F1193" s="2" t="s">
        <v>13</v>
      </c>
      <c r="G1193" s="2" t="s">
        <v>21</v>
      </c>
      <c r="H1193" s="4" t="str">
        <f>HYPERLINK("https://www.sohu.com/a/897262629_120823584","https://www.sohu.com/a/897262629_120823584")</f>
        <v>https://www.sohu.com/a/897262629_120823584</v>
      </c>
      <c r="I1193" s="3" t="s">
        <v>1743</v>
      </c>
      <c r="J1193" t="s">
        <v>16</v>
      </c>
    </row>
    <row r="1194" ht="23" customHeight="1" spans="1:10">
      <c r="A1194" s="2">
        <v>1193</v>
      </c>
      <c r="B1194" s="3" t="s">
        <v>1741</v>
      </c>
      <c r="C1194" s="2" t="s">
        <v>1745</v>
      </c>
      <c r="D1194" s="2" t="s">
        <v>46</v>
      </c>
      <c r="E1194" s="2" t="s">
        <v>71</v>
      </c>
      <c r="F1194" s="2" t="s">
        <v>37</v>
      </c>
      <c r="G1194" s="2" t="s">
        <v>21</v>
      </c>
      <c r="H1194" s="4" t="str">
        <f>HYPERLINK("https://3g.k.sohu.com/t/n891727202?serialId=666c9a39f001175a83ad37ff44884be9&amp;showType=891727202","https://3g.k.sohu.com/t/n891727202?serialId=666c9a39f001175a83ad37ff44884be9&amp;showType=891727202")</f>
        <v>https://3g.k.sohu.com/t/n891727202?serialId=666c9a39f001175a83ad37ff44884be9&amp;showType=891727202</v>
      </c>
      <c r="I1194" s="3" t="s">
        <v>1746</v>
      </c>
      <c r="J1194" t="s">
        <v>16</v>
      </c>
    </row>
    <row r="1195" ht="23" customHeight="1" spans="1:10">
      <c r="A1195" s="2">
        <v>1194</v>
      </c>
      <c r="B1195" s="3" t="s">
        <v>1741</v>
      </c>
      <c r="C1195" s="2" t="s">
        <v>1747</v>
      </c>
      <c r="D1195" s="2" t="s">
        <v>46</v>
      </c>
      <c r="E1195" s="2" t="s">
        <v>618</v>
      </c>
      <c r="F1195" s="2" t="s">
        <v>37</v>
      </c>
      <c r="G1195" s="2" t="s">
        <v>26</v>
      </c>
      <c r="H1195" s="4" t="str">
        <f>HYPERLINK("https://3g.k.sohu.com/t/n891591054?serialId=3e934e7bcc8834d8cb47cd30829f0883&amp;showType=891591054","https://3g.k.sohu.com/t/n891591054?serialId=3e934e7bcc8834d8cb47cd30829f0883&amp;showType=891591054")</f>
        <v>https://3g.k.sohu.com/t/n891591054?serialId=3e934e7bcc8834d8cb47cd30829f0883&amp;showType=891591054</v>
      </c>
      <c r="I1195" s="3" t="s">
        <v>1746</v>
      </c>
      <c r="J1195" t="s">
        <v>16</v>
      </c>
    </row>
    <row r="1196" ht="23" customHeight="1" spans="1:10">
      <c r="A1196" s="2">
        <v>1195</v>
      </c>
      <c r="B1196" s="3" t="s">
        <v>1748</v>
      </c>
      <c r="C1196" s="2" t="s">
        <v>1749</v>
      </c>
      <c r="D1196" s="2" t="s">
        <v>155</v>
      </c>
      <c r="E1196" s="2" t="s">
        <v>155</v>
      </c>
      <c r="F1196" s="2" t="s">
        <v>13</v>
      </c>
      <c r="G1196" s="2" t="s">
        <v>26</v>
      </c>
      <c r="H1196" s="4" t="str">
        <f>HYPERLINK("http://www.why.com.cn/wx/article/2025/05/20/17477319381194958770.html","http://www.why.com.cn/wx/article/2025/05/20/17477319381194958770.html")</f>
        <v>http://www.why.com.cn/wx/article/2025/05/20/17477319381194958770.html</v>
      </c>
      <c r="I1196" s="3" t="s">
        <v>1750</v>
      </c>
      <c r="J1196" t="s">
        <v>16</v>
      </c>
    </row>
    <row r="1197" ht="23" customHeight="1" spans="1:10">
      <c r="A1197" s="2">
        <v>1196</v>
      </c>
      <c r="B1197" s="3" t="s">
        <v>1751</v>
      </c>
      <c r="C1197" s="2" t="s">
        <v>1752</v>
      </c>
      <c r="D1197" s="2" t="s">
        <v>41</v>
      </c>
      <c r="E1197" s="2" t="s">
        <v>20</v>
      </c>
      <c r="F1197" s="2" t="s">
        <v>13</v>
      </c>
      <c r="G1197" s="2" t="s">
        <v>21</v>
      </c>
      <c r="H1197" s="4" t="str">
        <f>HYPERLINK("https://baijiahao.baidu.com/s?id=1832633440290945043","https://baijiahao.baidu.com/s?id=1832633440290945043")</f>
        <v>https://baijiahao.baidu.com/s?id=1832633440290945043</v>
      </c>
      <c r="I1197" s="3" t="s">
        <v>1753</v>
      </c>
      <c r="J1197" t="s">
        <v>16</v>
      </c>
    </row>
    <row r="1198" ht="23" customHeight="1" spans="1:10">
      <c r="A1198" s="2">
        <v>1197</v>
      </c>
      <c r="B1198" s="3" t="s">
        <v>1754</v>
      </c>
      <c r="C1198" s="2" t="s">
        <v>1755</v>
      </c>
      <c r="D1198" s="2" t="s">
        <v>1756</v>
      </c>
      <c r="E1198" s="2" t="s">
        <v>1756</v>
      </c>
      <c r="F1198" s="2" t="s">
        <v>13</v>
      </c>
      <c r="G1198" s="2" t="s">
        <v>14</v>
      </c>
      <c r="H1198" s="4" t="str">
        <f>HYPERLINK("http://www.sh.chinanews.com.cn/tiyu/2025-05-19/135947.shtml","http://www.sh.chinanews.com.cn/tiyu/2025-05-19/135947.shtml")</f>
        <v>http://www.sh.chinanews.com.cn/tiyu/2025-05-19/135947.shtml</v>
      </c>
      <c r="I1198" s="3" t="s">
        <v>1757</v>
      </c>
      <c r="J1198" t="s">
        <v>16</v>
      </c>
    </row>
    <row r="1199" ht="23" customHeight="1" spans="1:10">
      <c r="A1199" s="2">
        <v>1198</v>
      </c>
      <c r="B1199" s="3" t="s">
        <v>1758</v>
      </c>
      <c r="C1199" s="2" t="s">
        <v>1759</v>
      </c>
      <c r="D1199" s="2" t="s">
        <v>41</v>
      </c>
      <c r="E1199" s="2" t="s">
        <v>1760</v>
      </c>
      <c r="F1199" s="2" t="s">
        <v>13</v>
      </c>
      <c r="G1199" s="2" t="s">
        <v>14</v>
      </c>
      <c r="H1199" s="4" t="str">
        <f>HYPERLINK("https://mbd.baidu.com/newspage/data/dtlandingwise?nid=dt_9309075725401520587","https://mbd.baidu.com/newspage/data/dtlandingwise?nid=dt_9309075725401520587")</f>
        <v>https://mbd.baidu.com/newspage/data/dtlandingwise?nid=dt_9309075725401520587</v>
      </c>
      <c r="I1199" s="3" t="s">
        <v>1761</v>
      </c>
      <c r="J1199" t="s">
        <v>16</v>
      </c>
    </row>
    <row r="1200" ht="23" customHeight="1" spans="1:10">
      <c r="A1200" s="2">
        <v>1199</v>
      </c>
      <c r="B1200" s="3" t="s">
        <v>1762</v>
      </c>
      <c r="C1200" s="2" t="s">
        <v>1763</v>
      </c>
      <c r="D1200" s="2" t="s">
        <v>19</v>
      </c>
      <c r="E1200" s="2" t="s">
        <v>508</v>
      </c>
      <c r="F1200" s="2" t="s">
        <v>37</v>
      </c>
      <c r="G1200" s="2" t="s">
        <v>14</v>
      </c>
      <c r="H1200" s="4" t="str">
        <f>HYPERLINK("https://c.m.163.com/news/a/JVUL8A1C0514R9KE.html","https://c.m.163.com/news/a/JVUL8A1C0514R9KE.html")</f>
        <v>https://c.m.163.com/news/a/JVUL8A1C0514R9KE.html</v>
      </c>
      <c r="I1200" s="3" t="s">
        <v>1764</v>
      </c>
      <c r="J1200" t="s">
        <v>16</v>
      </c>
    </row>
    <row r="1201" ht="23" customHeight="1" spans="1:10">
      <c r="A1201" s="2">
        <v>1200</v>
      </c>
      <c r="B1201" s="3" t="s">
        <v>1762</v>
      </c>
      <c r="C1201" s="2" t="s">
        <v>1765</v>
      </c>
      <c r="D1201" s="2" t="s">
        <v>35</v>
      </c>
      <c r="E1201" s="2" t="s">
        <v>508</v>
      </c>
      <c r="F1201" s="2" t="s">
        <v>13</v>
      </c>
      <c r="G1201" s="2" t="s">
        <v>14</v>
      </c>
      <c r="H1201" s="4" t="str">
        <f>HYPERLINK("https://new.qq.com/rain/a/20250519A07LTD00","https://new.qq.com/rain/a/20250519A07LTD00")</f>
        <v>https://new.qq.com/rain/a/20250519A07LTD00</v>
      </c>
      <c r="I1201" s="3" t="s">
        <v>1764</v>
      </c>
      <c r="J1201" t="s">
        <v>16</v>
      </c>
    </row>
    <row r="1202" ht="23" customHeight="1" spans="1:10">
      <c r="A1202" s="2">
        <v>1201</v>
      </c>
      <c r="B1202" s="3" t="s">
        <v>1762</v>
      </c>
      <c r="C1202" s="2" t="s">
        <v>1765</v>
      </c>
      <c r="D1202" s="2" t="s">
        <v>34</v>
      </c>
      <c r="E1202" s="2" t="s">
        <v>508</v>
      </c>
      <c r="F1202" s="2" t="s">
        <v>13</v>
      </c>
      <c r="G1202" s="2" t="s">
        <v>14</v>
      </c>
      <c r="H1202" s="4" t="str">
        <f>HYPERLINK("https://kandianshare.html5.qq.com/v2/news/6227639769546844482","https://kandianshare.html5.qq.com/v2/news/6227639769546844482")</f>
        <v>https://kandianshare.html5.qq.com/v2/news/6227639769546844482</v>
      </c>
      <c r="I1202" s="3" t="s">
        <v>1764</v>
      </c>
      <c r="J1202" t="s">
        <v>16</v>
      </c>
    </row>
    <row r="1203" ht="23" customHeight="1" spans="1:10">
      <c r="A1203" s="2">
        <v>1202</v>
      </c>
      <c r="B1203" s="3" t="s">
        <v>1762</v>
      </c>
      <c r="C1203" s="2" t="s">
        <v>1766</v>
      </c>
      <c r="D1203" s="2" t="s">
        <v>46</v>
      </c>
      <c r="E1203" s="2" t="s">
        <v>508</v>
      </c>
      <c r="F1203" s="2" t="s">
        <v>13</v>
      </c>
      <c r="G1203" s="2" t="s">
        <v>14</v>
      </c>
      <c r="H1203" s="4" t="str">
        <f>HYPERLINK("https://www.sohu.com/a/896652231_121955537","https://www.sohu.com/a/896652231_121955537")</f>
        <v>https://www.sohu.com/a/896652231_121955537</v>
      </c>
      <c r="I1203" s="3" t="s">
        <v>1764</v>
      </c>
      <c r="J1203" t="s">
        <v>16</v>
      </c>
    </row>
    <row r="1204" ht="23" customHeight="1" spans="1:10">
      <c r="A1204" s="2">
        <v>1203</v>
      </c>
      <c r="B1204" s="3" t="s">
        <v>1762</v>
      </c>
      <c r="C1204" s="2" t="s">
        <v>1766</v>
      </c>
      <c r="D1204" s="2" t="s">
        <v>46</v>
      </c>
      <c r="E1204" s="2" t="s">
        <v>508</v>
      </c>
      <c r="F1204" s="2" t="s">
        <v>37</v>
      </c>
      <c r="G1204" s="2" t="s">
        <v>14</v>
      </c>
      <c r="H1204" s="4" t="str">
        <f>HYPERLINK("https://3g.k.sohu.com/t/n890995630?serialId=3096ebf68229e7f9221543c6700791b3&amp;showType=890995630","https://3g.k.sohu.com/t/n890995630?serialId=3096ebf68229e7f9221543c6700791b3&amp;showType=890995630")</f>
        <v>https://3g.k.sohu.com/t/n890995630?serialId=3096ebf68229e7f9221543c6700791b3&amp;showType=890995630</v>
      </c>
      <c r="I1204" s="3" t="s">
        <v>1764</v>
      </c>
      <c r="J1204" t="s">
        <v>16</v>
      </c>
    </row>
    <row r="1205" ht="23" customHeight="1" spans="1:10">
      <c r="A1205" s="2">
        <v>1204</v>
      </c>
      <c r="B1205" s="3" t="s">
        <v>1762</v>
      </c>
      <c r="C1205" s="2" t="s">
        <v>1767</v>
      </c>
      <c r="D1205" s="2" t="s">
        <v>40</v>
      </c>
      <c r="E1205" s="2" t="s">
        <v>508</v>
      </c>
      <c r="F1205" s="2" t="s">
        <v>13</v>
      </c>
      <c r="G1205" s="2" t="s">
        <v>14</v>
      </c>
      <c r="H1205" s="4" t="str">
        <f>HYPERLINK("https://www.yoojia.com/article/8979594829754218824.html","https://www.yoojia.com/article/8979594829754218824.html")</f>
        <v>https://www.yoojia.com/article/8979594829754218824.html</v>
      </c>
      <c r="I1205" s="3" t="s">
        <v>1764</v>
      </c>
      <c r="J1205" t="s">
        <v>16</v>
      </c>
    </row>
    <row r="1206" ht="23" customHeight="1" spans="1:10">
      <c r="A1206" s="2">
        <v>1205</v>
      </c>
      <c r="B1206" s="3" t="s">
        <v>1762</v>
      </c>
      <c r="C1206" s="2" t="s">
        <v>1768</v>
      </c>
      <c r="D1206" s="2" t="s">
        <v>19</v>
      </c>
      <c r="E1206" s="2" t="s">
        <v>1769</v>
      </c>
      <c r="F1206" s="2" t="s">
        <v>37</v>
      </c>
      <c r="G1206" s="2" t="s">
        <v>14</v>
      </c>
      <c r="H1206" s="4" t="str">
        <f>HYPERLINK("https://c.m.163.com/news/a/JVUINNGN0514R9OJ.html","https://c.m.163.com/news/a/JVUINNGN0514R9OJ.html")</f>
        <v>https://c.m.163.com/news/a/JVUINNGN0514R9OJ.html</v>
      </c>
      <c r="I1206" s="3" t="s">
        <v>1770</v>
      </c>
      <c r="J1206" t="s">
        <v>16</v>
      </c>
    </row>
    <row r="1207" ht="23" customHeight="1" spans="1:10">
      <c r="A1207" s="2">
        <v>1206</v>
      </c>
      <c r="B1207" s="3" t="s">
        <v>1762</v>
      </c>
      <c r="C1207" s="2" t="s">
        <v>1771</v>
      </c>
      <c r="D1207" s="2" t="s">
        <v>41</v>
      </c>
      <c r="E1207" s="2" t="s">
        <v>508</v>
      </c>
      <c r="F1207" s="2" t="s">
        <v>13</v>
      </c>
      <c r="G1207" s="2" t="s">
        <v>14</v>
      </c>
      <c r="H1207" s="4" t="str">
        <f>HYPERLINK("https://mbd.baidu.com/newspage/data/dtlandingwise?nid=dt_8979594829754218824","https://mbd.baidu.com/newspage/data/dtlandingwise?nid=dt_8979594829754218824")</f>
        <v>https://mbd.baidu.com/newspage/data/dtlandingwise?nid=dt_8979594829754218824</v>
      </c>
      <c r="I1207" s="3" t="s">
        <v>1772</v>
      </c>
      <c r="J1207" t="s">
        <v>16</v>
      </c>
    </row>
    <row r="1208" ht="23" customHeight="1" spans="1:10">
      <c r="A1208" s="2">
        <v>1207</v>
      </c>
      <c r="B1208" s="3" t="s">
        <v>1762</v>
      </c>
      <c r="C1208" s="2" t="s">
        <v>1773</v>
      </c>
      <c r="D1208" s="2" t="s">
        <v>63</v>
      </c>
      <c r="E1208" s="2" t="s">
        <v>511</v>
      </c>
      <c r="F1208" s="2" t="s">
        <v>13</v>
      </c>
      <c r="G1208" s="2" t="s">
        <v>14</v>
      </c>
      <c r="H1208" s="4" t="str">
        <f>HYPERLINK("https://cn.chinadaily.com.cn/a/202505/19/WS682aee92a310205377033d3e.html","https://cn.chinadaily.com.cn/a/202505/19/WS682aee92a310205377033d3e.html")</f>
        <v>https://cn.chinadaily.com.cn/a/202505/19/WS682aee92a310205377033d3e.html</v>
      </c>
      <c r="I1208" s="3" t="s">
        <v>1764</v>
      </c>
      <c r="J1208" t="s">
        <v>16</v>
      </c>
    </row>
    <row r="1209" ht="23" customHeight="1" spans="1:10">
      <c r="A1209" s="2">
        <v>1208</v>
      </c>
      <c r="B1209" s="3" t="s">
        <v>1762</v>
      </c>
      <c r="C1209" s="2" t="s">
        <v>1773</v>
      </c>
      <c r="D1209" s="2" t="s">
        <v>41</v>
      </c>
      <c r="E1209" s="2" t="s">
        <v>508</v>
      </c>
      <c r="F1209" s="2" t="s">
        <v>13</v>
      </c>
      <c r="G1209" s="2" t="s">
        <v>14</v>
      </c>
      <c r="H1209" s="4" t="str">
        <f>HYPERLINK("https://baijiahao.baidu.com/s?id=1832541571157183284","https://baijiahao.baidu.com/s?id=1832541571157183284")</f>
        <v>https://baijiahao.baidu.com/s?id=1832541571157183284</v>
      </c>
      <c r="I1209" s="3" t="s">
        <v>1764</v>
      </c>
      <c r="J1209" t="s">
        <v>16</v>
      </c>
    </row>
    <row r="1210" ht="23" customHeight="1" spans="1:10">
      <c r="A1210" s="2">
        <v>1209</v>
      </c>
      <c r="B1210" s="3" t="s">
        <v>1762</v>
      </c>
      <c r="C1210" s="2" t="s">
        <v>1774</v>
      </c>
      <c r="D1210" s="2" t="s">
        <v>211</v>
      </c>
      <c r="E1210" s="2" t="s">
        <v>211</v>
      </c>
      <c r="F1210" s="2" t="s">
        <v>13</v>
      </c>
      <c r="G1210" s="2" t="s">
        <v>14</v>
      </c>
      <c r="H1210" s="4" t="str">
        <f>HYPERLINK("https://city.huanqiu.com/article/4Mk0dkQmZTn","https://city.huanqiu.com/article/4Mk0dkQmZTn")</f>
        <v>https://city.huanqiu.com/article/4Mk0dkQmZTn</v>
      </c>
      <c r="I1210" s="3" t="s">
        <v>1775</v>
      </c>
      <c r="J1210" t="s">
        <v>16</v>
      </c>
    </row>
    <row r="1211" ht="23" customHeight="1" spans="1:10">
      <c r="A1211" s="2">
        <v>1210</v>
      </c>
      <c r="B1211" s="3" t="s">
        <v>1776</v>
      </c>
      <c r="C1211" s="2" t="s">
        <v>1777</v>
      </c>
      <c r="D1211" s="2" t="s">
        <v>71</v>
      </c>
      <c r="E1211" s="2" t="s">
        <v>71</v>
      </c>
      <c r="F1211" s="2" t="s">
        <v>13</v>
      </c>
      <c r="G1211" s="2" t="s">
        <v>21</v>
      </c>
      <c r="H1211" s="4" t="str">
        <f>HYPERLINK("http://qiye.eastday.com/n34/u1ai1348403.html","http://qiye.eastday.com/n34/u1ai1348403.html")</f>
        <v>http://qiye.eastday.com/n34/u1ai1348403.html</v>
      </c>
      <c r="I1211" s="3" t="s">
        <v>1778</v>
      </c>
      <c r="J1211" t="s">
        <v>16</v>
      </c>
    </row>
    <row r="1212" ht="23" customHeight="1" spans="1:10">
      <c r="A1212" s="2">
        <v>1211</v>
      </c>
      <c r="B1212" s="3" t="s">
        <v>1779</v>
      </c>
      <c r="C1212" s="2" t="s">
        <v>1780</v>
      </c>
      <c r="D1212" s="2" t="s">
        <v>440</v>
      </c>
      <c r="E1212" s="2" t="s">
        <v>1512</v>
      </c>
      <c r="F1212" s="2" t="s">
        <v>13</v>
      </c>
      <c r="G1212" s="2" t="s">
        <v>26</v>
      </c>
      <c r="H1212" s="4" t="str">
        <f>HYPERLINK("https://edu.online.sh.cn/education/gb/content/2025-05/19/content_10312863.htm","https://edu.online.sh.cn/education/gb/content/2025-05/19/content_10312863.htm")</f>
        <v>https://edu.online.sh.cn/education/gb/content/2025-05/19/content_10312863.htm</v>
      </c>
      <c r="I1212" s="3" t="s">
        <v>1781</v>
      </c>
      <c r="J1212" t="s">
        <v>16</v>
      </c>
    </row>
    <row r="1213" ht="23" customHeight="1" spans="1:10">
      <c r="A1213" s="2">
        <v>1212</v>
      </c>
      <c r="B1213" s="3" t="s">
        <v>1782</v>
      </c>
      <c r="C1213" s="2" t="s">
        <v>1783</v>
      </c>
      <c r="D1213" s="2" t="s">
        <v>41</v>
      </c>
      <c r="E1213" s="2" t="s">
        <v>20</v>
      </c>
      <c r="F1213" s="2" t="s">
        <v>13</v>
      </c>
      <c r="G1213" s="2" t="s">
        <v>21</v>
      </c>
      <c r="H1213" s="4" t="str">
        <f>HYPERLINK("https://baijiahao.baidu.com/s?id=1832431284777404880","https://baijiahao.baidu.com/s?id=1832431284777404880")</f>
        <v>https://baijiahao.baidu.com/s?id=1832431284777404880</v>
      </c>
      <c r="I1213" s="3" t="s">
        <v>1784</v>
      </c>
      <c r="J1213" t="s">
        <v>16</v>
      </c>
    </row>
    <row r="1214" ht="23" customHeight="1" spans="1:10">
      <c r="A1214" s="2">
        <v>1213</v>
      </c>
      <c r="B1214" s="3" t="s">
        <v>1762</v>
      </c>
      <c r="C1214" s="2" t="s">
        <v>1785</v>
      </c>
      <c r="D1214" s="2" t="s">
        <v>155</v>
      </c>
      <c r="E1214" s="2" t="s">
        <v>155</v>
      </c>
      <c r="F1214" s="2" t="s">
        <v>13</v>
      </c>
      <c r="G1214" s="2" t="s">
        <v>26</v>
      </c>
      <c r="H1214" s="4" t="str">
        <f>HYPERLINK("http://www.why.com.cn/wx/article/2025/05/16/17473842911218085017.html","http://www.why.com.cn/wx/article/2025/05/16/17473842911218085017.html")</f>
        <v>http://www.why.com.cn/wx/article/2025/05/16/17473842911218085017.html</v>
      </c>
      <c r="I1214" s="3" t="s">
        <v>1786</v>
      </c>
      <c r="J1214" t="s">
        <v>16</v>
      </c>
    </row>
    <row r="1215" ht="23" customHeight="1" spans="1:10">
      <c r="A1215" s="2">
        <v>1214</v>
      </c>
      <c r="B1215" s="3" t="s">
        <v>1762</v>
      </c>
      <c r="C1215" s="2" t="s">
        <v>1787</v>
      </c>
      <c r="D1215" s="2" t="s">
        <v>228</v>
      </c>
      <c r="E1215" s="2" t="s">
        <v>228</v>
      </c>
      <c r="F1215" s="2" t="s">
        <v>13</v>
      </c>
      <c r="G1215" s="2" t="s">
        <v>14</v>
      </c>
      <c r="H1215" s="4" t="str">
        <f>HYPERLINK("https://www.zgswcn.com/news.html?aid=269203","https://www.zgswcn.com/news.html?aid=269203")</f>
        <v>https://www.zgswcn.com/news.html?aid=269203</v>
      </c>
      <c r="I1215" s="3" t="s">
        <v>1764</v>
      </c>
      <c r="J1215" t="s">
        <v>16</v>
      </c>
    </row>
    <row r="1216" ht="23" customHeight="1" spans="1:10">
      <c r="A1216" s="2">
        <v>1215</v>
      </c>
      <c r="B1216" s="3" t="s">
        <v>1762</v>
      </c>
      <c r="C1216" s="2" t="s">
        <v>1788</v>
      </c>
      <c r="D1216" s="2" t="s">
        <v>1756</v>
      </c>
      <c r="E1216" s="2" t="s">
        <v>1756</v>
      </c>
      <c r="F1216" s="2" t="s">
        <v>13</v>
      </c>
      <c r="G1216" s="2" t="s">
        <v>14</v>
      </c>
      <c r="H1216" s="4" t="str">
        <f>HYPERLINK("http://www.sh.chinanews.com.cn/chanjing/2025-05-16/135844.shtml","http://www.sh.chinanews.com.cn/chanjing/2025-05-16/135844.shtml")</f>
        <v>http://www.sh.chinanews.com.cn/chanjing/2025-05-16/135844.shtml</v>
      </c>
      <c r="I1216" s="3" t="s">
        <v>1764</v>
      </c>
      <c r="J1216" t="s">
        <v>16</v>
      </c>
    </row>
    <row r="1217" ht="23" customHeight="1" spans="1:10">
      <c r="A1217" s="2">
        <v>1216</v>
      </c>
      <c r="B1217" s="3" t="s">
        <v>1762</v>
      </c>
      <c r="C1217" s="2" t="s">
        <v>1789</v>
      </c>
      <c r="D1217" s="2" t="s">
        <v>1790</v>
      </c>
      <c r="E1217" s="2" t="s">
        <v>1790</v>
      </c>
      <c r="F1217" s="2" t="s">
        <v>13</v>
      </c>
      <c r="G1217" s="2" t="s">
        <v>21</v>
      </c>
      <c r="H1217" s="4" t="str">
        <f>HYPERLINK("http://www.xinminweekly.com.cn/shenghuo/2025/05/16/31029.html","http://www.xinminweekly.com.cn/shenghuo/2025/05/16/31029.html")</f>
        <v>http://www.xinminweekly.com.cn/shenghuo/2025/05/16/31029.html</v>
      </c>
      <c r="I1217" s="3" t="s">
        <v>1791</v>
      </c>
      <c r="J1217" t="s">
        <v>16</v>
      </c>
    </row>
    <row r="1218" ht="23" customHeight="1" spans="1:10">
      <c r="A1218" s="2">
        <v>1217</v>
      </c>
      <c r="B1218" s="3" t="s">
        <v>1762</v>
      </c>
      <c r="C1218" s="2" t="s">
        <v>1792</v>
      </c>
      <c r="D1218" s="2" t="s">
        <v>41</v>
      </c>
      <c r="E1218" s="2" t="s">
        <v>1793</v>
      </c>
      <c r="F1218" s="2" t="s">
        <v>13</v>
      </c>
      <c r="G1218" s="2" t="s">
        <v>26</v>
      </c>
      <c r="H1218" s="4" t="str">
        <f>HYPERLINK("https://baijiahao.baidu.com/s?id=1832252570783187474","https://baijiahao.baidu.com/s?id=1832252570783187474")</f>
        <v>https://baijiahao.baidu.com/s?id=1832252570783187474</v>
      </c>
      <c r="I1218" s="3" t="s">
        <v>1791</v>
      </c>
      <c r="J1218" t="s">
        <v>16</v>
      </c>
    </row>
    <row r="1219" ht="23" customHeight="1" spans="1:10">
      <c r="A1219" s="2">
        <v>1218</v>
      </c>
      <c r="B1219" s="3" t="s">
        <v>1762</v>
      </c>
      <c r="C1219" s="2" t="s">
        <v>1794</v>
      </c>
      <c r="D1219" s="2" t="s">
        <v>200</v>
      </c>
      <c r="E1219" s="2" t="s">
        <v>200</v>
      </c>
      <c r="F1219" s="2" t="s">
        <v>13</v>
      </c>
      <c r="G1219" s="2" t="s">
        <v>201</v>
      </c>
      <c r="H1219" s="4" t="str">
        <f>HYPERLINK("https://shanghai.eol.cn/shanghainews/202505/t20250516_2668684.shtml","https://shanghai.eol.cn/shanghainews/202505/t20250516_2668684.shtml")</f>
        <v>https://shanghai.eol.cn/shanghainews/202505/t20250516_2668684.shtml</v>
      </c>
      <c r="I1219" s="3" t="s">
        <v>1764</v>
      </c>
      <c r="J1219" t="s">
        <v>16</v>
      </c>
    </row>
    <row r="1220" ht="23" customHeight="1" spans="1:10">
      <c r="A1220" s="2">
        <v>1219</v>
      </c>
      <c r="B1220" s="3" t="s">
        <v>1795</v>
      </c>
      <c r="C1220" s="2" t="s">
        <v>1796</v>
      </c>
      <c r="D1220" s="2" t="s">
        <v>440</v>
      </c>
      <c r="E1220" s="2" t="s">
        <v>1797</v>
      </c>
      <c r="F1220" s="2" t="s">
        <v>13</v>
      </c>
      <c r="G1220" s="2" t="s">
        <v>26</v>
      </c>
      <c r="H1220" s="4" t="str">
        <f>HYPERLINK("https://edu.online.sh.cn/education/gb/content/2025-05/16/content_10312299.htm","https://edu.online.sh.cn/education/gb/content/2025-05/16/content_10312299.htm")</f>
        <v>https://edu.online.sh.cn/education/gb/content/2025-05/16/content_10312299.htm</v>
      </c>
      <c r="I1220" s="3" t="s">
        <v>1798</v>
      </c>
      <c r="J1220" t="s">
        <v>16</v>
      </c>
    </row>
    <row r="1221" ht="23" customHeight="1" spans="1:10">
      <c r="A1221" s="2">
        <v>1220</v>
      </c>
      <c r="B1221" s="3" t="s">
        <v>1799</v>
      </c>
      <c r="C1221" s="2" t="s">
        <v>1800</v>
      </c>
      <c r="D1221" s="2" t="s">
        <v>1801</v>
      </c>
      <c r="E1221" s="2" t="s">
        <v>20</v>
      </c>
      <c r="F1221" s="2" t="s">
        <v>37</v>
      </c>
      <c r="G1221" s="2" t="s">
        <v>26</v>
      </c>
      <c r="H1221" s="4" t="str">
        <f>HYPERLINK("https://news.baidu.com/app/articles/9714400177406832712","https://news.baidu.com/app/articles/9714400177406832712")</f>
        <v>https://news.baidu.com/app/articles/9714400177406832712</v>
      </c>
      <c r="I1221" s="3" t="s">
        <v>1802</v>
      </c>
      <c r="J1221" t="s">
        <v>16</v>
      </c>
    </row>
    <row r="1222" ht="23" customHeight="1" spans="1:10">
      <c r="A1222" s="2">
        <v>1221</v>
      </c>
      <c r="B1222" s="3" t="s">
        <v>1799</v>
      </c>
      <c r="C1222" s="2" t="s">
        <v>1803</v>
      </c>
      <c r="D1222" s="2" t="s">
        <v>41</v>
      </c>
      <c r="E1222" s="2" t="s">
        <v>20</v>
      </c>
      <c r="F1222" s="2" t="s">
        <v>13</v>
      </c>
      <c r="G1222" s="2" t="s">
        <v>21</v>
      </c>
      <c r="H1222" s="4" t="str">
        <f>HYPERLINK("https://mbd.baidu.com/newspage/data/dtlandingwise?nid=dt_9714400177406832712","https://mbd.baidu.com/newspage/data/dtlandingwise?nid=dt_9714400177406832712")</f>
        <v>https://mbd.baidu.com/newspage/data/dtlandingwise?nid=dt_9714400177406832712</v>
      </c>
      <c r="I1222" s="3" t="s">
        <v>1804</v>
      </c>
      <c r="J1222" t="s">
        <v>16</v>
      </c>
    </row>
    <row r="1223" ht="23" customHeight="1" spans="1:10">
      <c r="A1223" s="2">
        <v>1222</v>
      </c>
      <c r="B1223" s="3" t="s">
        <v>1799</v>
      </c>
      <c r="C1223" s="2" t="s">
        <v>1805</v>
      </c>
      <c r="D1223" s="2" t="s">
        <v>41</v>
      </c>
      <c r="E1223" s="2" t="s">
        <v>20</v>
      </c>
      <c r="F1223" s="2" t="s">
        <v>13</v>
      </c>
      <c r="G1223" s="2" t="s">
        <v>21</v>
      </c>
      <c r="H1223" s="4" t="str">
        <f>HYPERLINK("https://baijiahao.baidu.com/s?id=1832185917365535598","https://baijiahao.baidu.com/s?id=1832185917365535598")</f>
        <v>https://baijiahao.baidu.com/s?id=1832185917365535598</v>
      </c>
      <c r="I1223" s="3" t="s">
        <v>1806</v>
      </c>
      <c r="J1223" t="s">
        <v>16</v>
      </c>
    </row>
    <row r="1224" ht="23" customHeight="1" spans="1:10">
      <c r="A1224" s="2">
        <v>1223</v>
      </c>
      <c r="B1224" s="3" t="s">
        <v>1795</v>
      </c>
      <c r="C1224" s="2" t="s">
        <v>1807</v>
      </c>
      <c r="D1224" s="2" t="s">
        <v>19</v>
      </c>
      <c r="E1224" s="2" t="s">
        <v>20</v>
      </c>
      <c r="F1224" s="2" t="s">
        <v>37</v>
      </c>
      <c r="G1224" s="2" t="s">
        <v>21</v>
      </c>
      <c r="H1224" s="4" t="str">
        <f>HYPERLINK("https://c.m.163.com/news/a/JVJHT7OD055040N3.html","https://c.m.163.com/news/a/JVJHT7OD055040N3.html")</f>
        <v>https://c.m.163.com/news/a/JVJHT7OD055040N3.html</v>
      </c>
      <c r="I1224" s="3" t="s">
        <v>1808</v>
      </c>
      <c r="J1224" t="s">
        <v>16</v>
      </c>
    </row>
    <row r="1225" ht="23" customHeight="1" spans="1:10">
      <c r="A1225" s="2">
        <v>1224</v>
      </c>
      <c r="B1225" s="3" t="s">
        <v>1809</v>
      </c>
      <c r="C1225" s="2" t="s">
        <v>1810</v>
      </c>
      <c r="D1225" s="2" t="s">
        <v>428</v>
      </c>
      <c r="E1225" s="2" t="s">
        <v>1512</v>
      </c>
      <c r="F1225" s="2" t="s">
        <v>13</v>
      </c>
      <c r="G1225" s="2" t="s">
        <v>14</v>
      </c>
      <c r="H1225" s="4" t="str">
        <f>HYPERLINK("https://article.xuexi.cn/articles/index.html?art_id=17456598027020337736&amp;cdn=https://region-shanghai-resource","https://article.xuexi.cn/articles/index.html?art_id=17456598027020337736&amp;cdn=https://region-shanghai-resource")</f>
        <v>https://article.xuexi.cn/articles/index.html?art_id=17456598027020337736&amp;cdn=https://region-shanghai-resource</v>
      </c>
      <c r="I1225" s="3" t="s">
        <v>1811</v>
      </c>
      <c r="J1225" t="s">
        <v>16</v>
      </c>
    </row>
    <row r="1226" ht="23" customHeight="1" spans="1:10">
      <c r="A1226" s="2">
        <v>1225</v>
      </c>
      <c r="B1226" s="3" t="s">
        <v>1795</v>
      </c>
      <c r="C1226" s="2" t="s">
        <v>1812</v>
      </c>
      <c r="D1226" s="2" t="s">
        <v>40</v>
      </c>
      <c r="E1226" s="2" t="s">
        <v>32</v>
      </c>
      <c r="F1226" s="2" t="s">
        <v>13</v>
      </c>
      <c r="G1226" s="2" t="s">
        <v>21</v>
      </c>
      <c r="H1226" s="4" t="str">
        <f>HYPERLINK("https://www.yoojia.com/article/9442767363029905454.html","https://www.yoojia.com/article/9442767363029905454.html")</f>
        <v>https://www.yoojia.com/article/9442767363029905454.html</v>
      </c>
      <c r="I1226" s="3" t="s">
        <v>1808</v>
      </c>
      <c r="J1226" t="s">
        <v>16</v>
      </c>
    </row>
    <row r="1227" ht="23" customHeight="1" spans="1:10">
      <c r="A1227" s="2">
        <v>1226</v>
      </c>
      <c r="B1227" s="3" t="s">
        <v>1795</v>
      </c>
      <c r="C1227" s="2" t="s">
        <v>1813</v>
      </c>
      <c r="D1227" s="2" t="s">
        <v>34</v>
      </c>
      <c r="E1227" s="2" t="s">
        <v>32</v>
      </c>
      <c r="F1227" s="2" t="s">
        <v>13</v>
      </c>
      <c r="G1227" s="2" t="s">
        <v>21</v>
      </c>
      <c r="H1227" s="4" t="str">
        <f>HYPERLINK("https://kandianshare.html5.qq.com/v2/news/8380359608647852354","https://kandianshare.html5.qq.com/v2/news/8380359608647852354")</f>
        <v>https://kandianshare.html5.qq.com/v2/news/8380359608647852354</v>
      </c>
      <c r="I1227" s="3" t="s">
        <v>1808</v>
      </c>
      <c r="J1227" t="s">
        <v>16</v>
      </c>
    </row>
    <row r="1228" ht="23" customHeight="1" spans="1:10">
      <c r="A1228" s="2">
        <v>1227</v>
      </c>
      <c r="B1228" s="3" t="s">
        <v>1795</v>
      </c>
      <c r="C1228" s="2" t="s">
        <v>1813</v>
      </c>
      <c r="D1228" s="2" t="s">
        <v>35</v>
      </c>
      <c r="E1228" s="2" t="s">
        <v>32</v>
      </c>
      <c r="F1228" s="2" t="s">
        <v>13</v>
      </c>
      <c r="G1228" s="2" t="s">
        <v>21</v>
      </c>
      <c r="H1228" s="4" t="str">
        <f>HYPERLINK("https://new.qq.com/rain/a/20250515A02XOH00","https://new.qq.com/rain/a/20250515A02XOH00")</f>
        <v>https://new.qq.com/rain/a/20250515A02XOH00</v>
      </c>
      <c r="I1228" s="3" t="s">
        <v>1808</v>
      </c>
      <c r="J1228" t="s">
        <v>16</v>
      </c>
    </row>
    <row r="1229" ht="23" customHeight="1" spans="1:10">
      <c r="A1229" s="2">
        <v>1228</v>
      </c>
      <c r="B1229" s="3" t="s">
        <v>1795</v>
      </c>
      <c r="C1229" s="2" t="s">
        <v>1814</v>
      </c>
      <c r="D1229" s="2" t="s">
        <v>11</v>
      </c>
      <c r="E1229" s="2" t="s">
        <v>20</v>
      </c>
      <c r="F1229" s="2" t="s">
        <v>13</v>
      </c>
      <c r="G1229" s="2" t="s">
        <v>21</v>
      </c>
      <c r="H1229" s="4" t="str">
        <f>HYPERLINK("https://www.toutiao.com/article/7504487964883206690/","https://www.toutiao.com/article/7504487964883206690/")</f>
        <v>https://www.toutiao.com/article/7504487964883206690/</v>
      </c>
      <c r="I1229" s="3" t="s">
        <v>1808</v>
      </c>
      <c r="J1229" t="s">
        <v>16</v>
      </c>
    </row>
    <row r="1230" ht="23" customHeight="1" spans="1:10">
      <c r="A1230" s="2">
        <v>1229</v>
      </c>
      <c r="B1230" s="3" t="s">
        <v>1795</v>
      </c>
      <c r="C1230" s="2" t="s">
        <v>1815</v>
      </c>
      <c r="D1230" s="2" t="s">
        <v>34</v>
      </c>
      <c r="E1230" s="2" t="s">
        <v>20</v>
      </c>
      <c r="F1230" s="2" t="s">
        <v>13</v>
      </c>
      <c r="G1230" s="2" t="s">
        <v>21</v>
      </c>
      <c r="H1230" s="4" t="str">
        <f>HYPERLINK("https://kandianshare.html5.qq.com/v2/news/8659582785184536898","https://kandianshare.html5.qq.com/v2/news/8659582785184536898")</f>
        <v>https://kandianshare.html5.qq.com/v2/news/8659582785184536898</v>
      </c>
      <c r="I1230" s="3" t="s">
        <v>1808</v>
      </c>
      <c r="J1230" t="s">
        <v>16</v>
      </c>
    </row>
    <row r="1231" ht="23" customHeight="1" spans="1:10">
      <c r="A1231" s="2">
        <v>1230</v>
      </c>
      <c r="B1231" s="3" t="s">
        <v>1795</v>
      </c>
      <c r="C1231" s="2" t="s">
        <v>1815</v>
      </c>
      <c r="D1231" s="2" t="s">
        <v>35</v>
      </c>
      <c r="E1231" s="2" t="s">
        <v>20</v>
      </c>
      <c r="F1231" s="2" t="s">
        <v>13</v>
      </c>
      <c r="G1231" s="2" t="s">
        <v>21</v>
      </c>
      <c r="H1231" s="4" t="str">
        <f>HYPERLINK("https://new.qq.com/rain/a/20250515A02VON00","https://new.qq.com/rain/a/20250515A02VON00")</f>
        <v>https://new.qq.com/rain/a/20250515A02VON00</v>
      </c>
      <c r="I1231" s="3" t="s">
        <v>1808</v>
      </c>
      <c r="J1231" t="s">
        <v>16</v>
      </c>
    </row>
    <row r="1232" ht="23" customHeight="1" spans="1:10">
      <c r="A1232" s="2">
        <v>1231</v>
      </c>
      <c r="B1232" s="3" t="s">
        <v>1795</v>
      </c>
      <c r="C1232" s="2" t="s">
        <v>1816</v>
      </c>
      <c r="D1232" s="2" t="s">
        <v>41</v>
      </c>
      <c r="E1232" s="2" t="s">
        <v>20</v>
      </c>
      <c r="F1232" s="2" t="s">
        <v>13</v>
      </c>
      <c r="G1232" s="2" t="s">
        <v>21</v>
      </c>
      <c r="H1232" s="4" t="str">
        <f>HYPERLINK("https://mbd.baidu.com/newspage/data/dtlandingwise?nid=dt_8860719704086572290","https://mbd.baidu.com/newspage/data/dtlandingwise?nid=dt_8860719704086572290")</f>
        <v>https://mbd.baidu.com/newspage/data/dtlandingwise?nid=dt_8860719704086572290</v>
      </c>
      <c r="I1232" s="3" t="s">
        <v>1817</v>
      </c>
      <c r="J1232" t="s">
        <v>16</v>
      </c>
    </row>
    <row r="1233" ht="23" customHeight="1" spans="1:10">
      <c r="A1233" s="2">
        <v>1232</v>
      </c>
      <c r="B1233" s="3" t="s">
        <v>1795</v>
      </c>
      <c r="C1233" s="2" t="s">
        <v>1818</v>
      </c>
      <c r="D1233" s="2" t="s">
        <v>43</v>
      </c>
      <c r="E1233" s="2" t="s">
        <v>1797</v>
      </c>
      <c r="F1233" s="2" t="s">
        <v>13</v>
      </c>
      <c r="G1233" s="2" t="s">
        <v>21</v>
      </c>
      <c r="H1233" s="4" t="str">
        <f>HYPERLINK("https://www.jfdaily.com.cn/staticsg/res/html/web/newsDetail.html?id=910461","https://www.jfdaily.com.cn/staticsg/res/html/web/newsDetail.html?id=910461")</f>
        <v>https://www.jfdaily.com.cn/staticsg/res/html/web/newsDetail.html?id=910461</v>
      </c>
      <c r="I1233" s="3" t="s">
        <v>1808</v>
      </c>
      <c r="J1233" t="s">
        <v>16</v>
      </c>
    </row>
    <row r="1234" ht="23" customHeight="1" spans="1:10">
      <c r="A1234" s="2">
        <v>1233</v>
      </c>
      <c r="B1234" s="3" t="s">
        <v>1795</v>
      </c>
      <c r="C1234" s="2" t="s">
        <v>1818</v>
      </c>
      <c r="D1234" s="2" t="s">
        <v>41</v>
      </c>
      <c r="E1234" s="2" t="s">
        <v>32</v>
      </c>
      <c r="F1234" s="2" t="s">
        <v>13</v>
      </c>
      <c r="G1234" s="2" t="s">
        <v>21</v>
      </c>
      <c r="H1234" s="4" t="str">
        <f>HYPERLINK("https://mbd.baidu.com/newspage/data/dtlandingwise?nid=dt_9442767363029905454","https://mbd.baidu.com/newspage/data/dtlandingwise?nid=dt_9442767363029905454")</f>
        <v>https://mbd.baidu.com/newspage/data/dtlandingwise?nid=dt_9442767363029905454</v>
      </c>
      <c r="I1234" s="3" t="s">
        <v>1817</v>
      </c>
      <c r="J1234" t="s">
        <v>16</v>
      </c>
    </row>
    <row r="1235" ht="23" customHeight="1" spans="1:10">
      <c r="A1235" s="2">
        <v>1234</v>
      </c>
      <c r="B1235" s="3" t="s">
        <v>1795</v>
      </c>
      <c r="C1235" s="2" t="s">
        <v>1819</v>
      </c>
      <c r="D1235" s="2" t="s">
        <v>46</v>
      </c>
      <c r="E1235" s="2" t="s">
        <v>32</v>
      </c>
      <c r="F1235" s="2" t="s">
        <v>13</v>
      </c>
      <c r="G1235" s="2" t="s">
        <v>21</v>
      </c>
      <c r="H1235" s="4" t="str">
        <f>HYPERLINK("https://www.sohu.com/a/895301799_121286085","https://www.sohu.com/a/895301799_121286085")</f>
        <v>https://www.sohu.com/a/895301799_121286085</v>
      </c>
      <c r="I1235" s="3" t="s">
        <v>1808</v>
      </c>
      <c r="J1235" t="s">
        <v>16</v>
      </c>
    </row>
    <row r="1236" ht="23" customHeight="1" spans="1:10">
      <c r="A1236" s="2">
        <v>1235</v>
      </c>
      <c r="B1236" s="3" t="s">
        <v>1795</v>
      </c>
      <c r="C1236" s="2" t="s">
        <v>1819</v>
      </c>
      <c r="D1236" s="2" t="s">
        <v>20</v>
      </c>
      <c r="E1236" s="2" t="s">
        <v>1797</v>
      </c>
      <c r="F1236" s="2" t="s">
        <v>37</v>
      </c>
      <c r="G1236" s="2" t="s">
        <v>21</v>
      </c>
      <c r="H1236" s="4" t="str">
        <f>HYPERLINK("https://services.shobserver.com/news/viewNewsDetail?id=910461","https://services.shobserver.com/news/viewNewsDetail?id=910461")</f>
        <v>https://services.shobserver.com/news/viewNewsDetail?id=910461</v>
      </c>
      <c r="I1236" s="3" t="s">
        <v>1808</v>
      </c>
      <c r="J1236" t="s">
        <v>16</v>
      </c>
    </row>
    <row r="1237" ht="23" customHeight="1" spans="1:10">
      <c r="A1237" s="2">
        <v>1236</v>
      </c>
      <c r="B1237" s="3" t="s">
        <v>1795</v>
      </c>
      <c r="C1237" s="2" t="s">
        <v>1819</v>
      </c>
      <c r="D1237" s="2" t="s">
        <v>41</v>
      </c>
      <c r="E1237" s="2" t="s">
        <v>32</v>
      </c>
      <c r="F1237" s="2" t="s">
        <v>13</v>
      </c>
      <c r="G1237" s="2" t="s">
        <v>21</v>
      </c>
      <c r="H1237" s="4" t="str">
        <f>HYPERLINK("https://baijiahao.baidu.com/s?id=1832150678662455499","https://baijiahao.baidu.com/s?id=1832150678662455499")</f>
        <v>https://baijiahao.baidu.com/s?id=1832150678662455499</v>
      </c>
      <c r="I1237" s="3" t="s">
        <v>1808</v>
      </c>
      <c r="J1237" t="s">
        <v>16</v>
      </c>
    </row>
    <row r="1238" ht="23" customHeight="1" spans="1:10">
      <c r="A1238" s="2">
        <v>1237</v>
      </c>
      <c r="B1238" s="3" t="s">
        <v>1795</v>
      </c>
      <c r="C1238" s="2" t="s">
        <v>1819</v>
      </c>
      <c r="D1238" s="2" t="s">
        <v>43</v>
      </c>
      <c r="E1238" s="2" t="s">
        <v>43</v>
      </c>
      <c r="F1238" s="2" t="s">
        <v>37</v>
      </c>
      <c r="G1238" s="2" t="s">
        <v>21</v>
      </c>
      <c r="H1238" s="4" t="str">
        <f>HYPERLINK("https://export.shobserver.com/baijiahao/html/910461.html","https://export.shobserver.com/baijiahao/html/910461.html")</f>
        <v>https://export.shobserver.com/baijiahao/html/910461.html</v>
      </c>
      <c r="I1238" s="3" t="s">
        <v>1808</v>
      </c>
      <c r="J1238" t="s">
        <v>16</v>
      </c>
    </row>
    <row r="1239" ht="23" customHeight="1" spans="1:10">
      <c r="A1239" s="2">
        <v>1238</v>
      </c>
      <c r="B1239" s="3" t="s">
        <v>1795</v>
      </c>
      <c r="C1239" s="2" t="s">
        <v>1819</v>
      </c>
      <c r="D1239" s="2" t="s">
        <v>46</v>
      </c>
      <c r="E1239" s="2" t="s">
        <v>32</v>
      </c>
      <c r="F1239" s="2" t="s">
        <v>37</v>
      </c>
      <c r="G1239" s="2" t="s">
        <v>21</v>
      </c>
      <c r="H1239" s="4" t="str">
        <f>HYPERLINK("https://3g.k.sohu.com/t/n889740256?serialId=eefa08c5424914a146302c5d0a3f5084&amp;showType=889740256","https://3g.k.sohu.com/t/n889740256?serialId=eefa08c5424914a146302c5d0a3f5084&amp;showType=889740256")</f>
        <v>https://3g.k.sohu.com/t/n889740256?serialId=eefa08c5424914a146302c5d0a3f5084&amp;showType=889740256</v>
      </c>
      <c r="I1239" s="3" t="s">
        <v>1808</v>
      </c>
      <c r="J1239" t="s">
        <v>16</v>
      </c>
    </row>
    <row r="1240" ht="23" customHeight="1" spans="1:10">
      <c r="A1240" s="2">
        <v>1239</v>
      </c>
      <c r="B1240" s="3" t="s">
        <v>1795</v>
      </c>
      <c r="C1240" s="2" t="s">
        <v>1819</v>
      </c>
      <c r="D1240" s="2" t="s">
        <v>41</v>
      </c>
      <c r="E1240" s="2" t="s">
        <v>20</v>
      </c>
      <c r="F1240" s="2" t="s">
        <v>13</v>
      </c>
      <c r="G1240" s="2" t="s">
        <v>21</v>
      </c>
      <c r="H1240" s="4" t="str">
        <f>HYPERLINK("https://baijiahao.baidu.com/s?id=1832150375606411862","https://baijiahao.baidu.com/s?id=1832150375606411862")</f>
        <v>https://baijiahao.baidu.com/s?id=1832150375606411862</v>
      </c>
      <c r="I1240" s="3" t="s">
        <v>1808</v>
      </c>
      <c r="J1240" t="s">
        <v>16</v>
      </c>
    </row>
    <row r="1241" ht="23" customHeight="1" spans="1:10">
      <c r="A1241" s="2">
        <v>1240</v>
      </c>
      <c r="B1241" s="3" t="s">
        <v>1795</v>
      </c>
      <c r="C1241" s="2" t="s">
        <v>1819</v>
      </c>
      <c r="D1241" s="2" t="s">
        <v>43</v>
      </c>
      <c r="E1241" s="2" t="s">
        <v>1797</v>
      </c>
      <c r="F1241" s="2" t="s">
        <v>13</v>
      </c>
      <c r="G1241" s="2" t="s">
        <v>21</v>
      </c>
      <c r="H1241" s="4" t="str">
        <f>HYPERLINK("https://www.jfdaily.com/staticsg/res/html/web/newsDetail.html?id=910461","https://www.jfdaily.com/staticsg/res/html/web/newsDetail.html?id=910461")</f>
        <v>https://www.jfdaily.com/staticsg/res/html/web/newsDetail.html?id=910461</v>
      </c>
      <c r="I1241" s="3" t="s">
        <v>1808</v>
      </c>
      <c r="J1241" t="s">
        <v>16</v>
      </c>
    </row>
    <row r="1242" ht="23" customHeight="1" spans="1:10">
      <c r="A1242" s="2">
        <v>1241</v>
      </c>
      <c r="B1242" s="3" t="s">
        <v>1779</v>
      </c>
      <c r="C1242" s="2" t="s">
        <v>1820</v>
      </c>
      <c r="D1242" s="2" t="s">
        <v>19</v>
      </c>
      <c r="E1242" s="2" t="s">
        <v>20</v>
      </c>
      <c r="F1242" s="2" t="s">
        <v>37</v>
      </c>
      <c r="G1242" s="2" t="s">
        <v>21</v>
      </c>
      <c r="H1242" s="4" t="str">
        <f>HYPERLINK("https://c.m.163.com/news/a/JVJD3J7L055040N3.html","https://c.m.163.com/news/a/JVJD3J7L055040N3.html")</f>
        <v>https://c.m.163.com/news/a/JVJD3J7L055040N3.html</v>
      </c>
      <c r="I1242" s="3" t="s">
        <v>1821</v>
      </c>
      <c r="J1242" t="s">
        <v>16</v>
      </c>
    </row>
    <row r="1243" ht="23" customHeight="1" spans="1:10">
      <c r="A1243" s="2">
        <v>1242</v>
      </c>
      <c r="B1243" s="3" t="s">
        <v>1822</v>
      </c>
      <c r="C1243" s="2" t="s">
        <v>1823</v>
      </c>
      <c r="D1243" s="2" t="s">
        <v>95</v>
      </c>
      <c r="E1243" s="2" t="s">
        <v>95</v>
      </c>
      <c r="F1243" s="2" t="s">
        <v>13</v>
      </c>
      <c r="G1243" s="2" t="s">
        <v>14</v>
      </c>
      <c r="H1243" s="4" t="str">
        <f>HYPERLINK("http://sh.people.com.cn/n2/2025/0515/c134768-41227885.html","http://sh.people.com.cn/n2/2025/0515/c134768-41227885.html")</f>
        <v>http://sh.people.com.cn/n2/2025/0515/c134768-41227885.html</v>
      </c>
      <c r="I1243" s="3" t="s">
        <v>1821</v>
      </c>
      <c r="J1243" t="s">
        <v>16</v>
      </c>
    </row>
    <row r="1244" ht="23" customHeight="1" spans="1:10">
      <c r="A1244" s="2">
        <v>1243</v>
      </c>
      <c r="B1244" s="3" t="s">
        <v>1779</v>
      </c>
      <c r="C1244" s="2" t="s">
        <v>1824</v>
      </c>
      <c r="D1244" s="2" t="s">
        <v>11</v>
      </c>
      <c r="E1244" s="2" t="s">
        <v>20</v>
      </c>
      <c r="F1244" s="2" t="s">
        <v>13</v>
      </c>
      <c r="G1244" s="2" t="s">
        <v>21</v>
      </c>
      <c r="H1244" s="4" t="str">
        <f>HYPERLINK("https://www.toutiao.com/article/7504471220813922856/","https://www.toutiao.com/article/7504471220813922856/")</f>
        <v>https://www.toutiao.com/article/7504471220813922856/</v>
      </c>
      <c r="I1244" s="3" t="s">
        <v>1821</v>
      </c>
      <c r="J1244" t="s">
        <v>16</v>
      </c>
    </row>
    <row r="1245" ht="23" customHeight="1" spans="1:10">
      <c r="A1245" s="2">
        <v>1244</v>
      </c>
      <c r="B1245" s="3" t="s">
        <v>1822</v>
      </c>
      <c r="C1245" s="2" t="s">
        <v>1825</v>
      </c>
      <c r="D1245" s="2" t="s">
        <v>35</v>
      </c>
      <c r="E1245" s="2" t="s">
        <v>20</v>
      </c>
      <c r="F1245" s="2" t="s">
        <v>13</v>
      </c>
      <c r="G1245" s="2" t="s">
        <v>21</v>
      </c>
      <c r="H1245" s="4" t="str">
        <f>HYPERLINK("https://new.qq.com/rain/a/20250515A022ZO00","https://new.qq.com/rain/a/20250515A022ZO00")</f>
        <v>https://new.qq.com/rain/a/20250515A022ZO00</v>
      </c>
      <c r="I1245" s="3" t="s">
        <v>1821</v>
      </c>
      <c r="J1245" t="s">
        <v>16</v>
      </c>
    </row>
    <row r="1246" ht="23" customHeight="1" spans="1:10">
      <c r="A1246" s="2">
        <v>1245</v>
      </c>
      <c r="B1246" s="3" t="s">
        <v>1822</v>
      </c>
      <c r="C1246" s="2" t="s">
        <v>1825</v>
      </c>
      <c r="D1246" s="2" t="s">
        <v>34</v>
      </c>
      <c r="E1246" s="2" t="s">
        <v>20</v>
      </c>
      <c r="F1246" s="2" t="s">
        <v>13</v>
      </c>
      <c r="G1246" s="2" t="s">
        <v>21</v>
      </c>
      <c r="H1246" s="4" t="str">
        <f>HYPERLINK("https://kandianshare.html5.qq.com/v2/news/1958226531431141698","https://kandianshare.html5.qq.com/v2/news/1958226531431141698")</f>
        <v>https://kandianshare.html5.qq.com/v2/news/1958226531431141698</v>
      </c>
      <c r="I1246" s="3" t="s">
        <v>1821</v>
      </c>
      <c r="J1246" t="s">
        <v>16</v>
      </c>
    </row>
    <row r="1247" ht="23" customHeight="1" spans="1:10">
      <c r="A1247" s="2">
        <v>1246</v>
      </c>
      <c r="B1247" s="3" t="s">
        <v>1826</v>
      </c>
      <c r="C1247" s="2" t="s">
        <v>1827</v>
      </c>
      <c r="D1247" s="2" t="s">
        <v>1801</v>
      </c>
      <c r="E1247" s="2" t="s">
        <v>20</v>
      </c>
      <c r="F1247" s="2" t="s">
        <v>37</v>
      </c>
      <c r="G1247" s="2" t="s">
        <v>26</v>
      </c>
      <c r="H1247" s="4" t="str">
        <f>HYPERLINK("https://news.baidu.com/app/articles/9873622397485416772","https://news.baidu.com/app/articles/9873622397485416772")</f>
        <v>https://news.baidu.com/app/articles/9873622397485416772</v>
      </c>
      <c r="I1247" s="3" t="s">
        <v>1821</v>
      </c>
      <c r="J1247" t="s">
        <v>16</v>
      </c>
    </row>
    <row r="1248" ht="23" customHeight="1" spans="1:10">
      <c r="A1248" s="2">
        <v>1247</v>
      </c>
      <c r="B1248" s="3" t="s">
        <v>1826</v>
      </c>
      <c r="C1248" s="2" t="s">
        <v>1828</v>
      </c>
      <c r="D1248" s="2" t="s">
        <v>41</v>
      </c>
      <c r="E1248" s="2" t="s">
        <v>20</v>
      </c>
      <c r="F1248" s="2" t="s">
        <v>13</v>
      </c>
      <c r="G1248" s="2" t="s">
        <v>21</v>
      </c>
      <c r="H1248" s="4" t="str">
        <f>HYPERLINK("https://mbd.baidu.com/newspage/data/dtlandingwise?nid=dt_9873622397485416772","https://mbd.baidu.com/newspage/data/dtlandingwise?nid=dt_9873622397485416772")</f>
        <v>https://mbd.baidu.com/newspage/data/dtlandingwise?nid=dt_9873622397485416772</v>
      </c>
      <c r="I1248" s="3" t="s">
        <v>1829</v>
      </c>
      <c r="J1248" t="s">
        <v>16</v>
      </c>
    </row>
    <row r="1249" ht="23" customHeight="1" spans="1:10">
      <c r="A1249" s="2">
        <v>1248</v>
      </c>
      <c r="B1249" s="3" t="s">
        <v>1822</v>
      </c>
      <c r="C1249" s="2" t="s">
        <v>1830</v>
      </c>
      <c r="D1249" s="2" t="s">
        <v>29</v>
      </c>
      <c r="E1249" s="2" t="s">
        <v>20</v>
      </c>
      <c r="F1249" s="2" t="s">
        <v>13</v>
      </c>
      <c r="G1249" s="2" t="s">
        <v>21</v>
      </c>
      <c r="H1249" s="4" t="str">
        <f>HYPERLINK("https://finance.sina.cn/2025-05-15/detail-inewqxse5319898.d.html","https://finance.sina.cn/2025-05-15/detail-inewqxse5319898.d.html")</f>
        <v>https://finance.sina.cn/2025-05-15/detail-inewqxse5319898.d.html</v>
      </c>
      <c r="I1249" s="3" t="s">
        <v>1821</v>
      </c>
      <c r="J1249" t="s">
        <v>16</v>
      </c>
    </row>
    <row r="1250" ht="23" customHeight="1" spans="1:10">
      <c r="A1250" s="2">
        <v>1249</v>
      </c>
      <c r="B1250" s="3" t="s">
        <v>1822</v>
      </c>
      <c r="C1250" s="2" t="s">
        <v>1830</v>
      </c>
      <c r="D1250" s="2" t="s">
        <v>43</v>
      </c>
      <c r="E1250" s="2" t="s">
        <v>1524</v>
      </c>
      <c r="F1250" s="2" t="s">
        <v>13</v>
      </c>
      <c r="G1250" s="2" t="s">
        <v>21</v>
      </c>
      <c r="H1250" s="4" t="str">
        <f>HYPERLINK("https://www.jfdaily.com.cn/staticsg/res/html/web/newsDetail.html?id=910371","https://www.jfdaily.com.cn/staticsg/res/html/web/newsDetail.html?id=910371")</f>
        <v>https://www.jfdaily.com.cn/staticsg/res/html/web/newsDetail.html?id=910371</v>
      </c>
      <c r="I1250" s="3" t="s">
        <v>1821</v>
      </c>
      <c r="J1250" t="s">
        <v>16</v>
      </c>
    </row>
    <row r="1251" ht="23" customHeight="1" spans="1:10">
      <c r="A1251" s="2">
        <v>1250</v>
      </c>
      <c r="B1251" s="3" t="s">
        <v>1822</v>
      </c>
      <c r="C1251" s="2" t="s">
        <v>1830</v>
      </c>
      <c r="D1251" s="2" t="s">
        <v>43</v>
      </c>
      <c r="E1251" s="2" t="s">
        <v>1524</v>
      </c>
      <c r="F1251" s="2" t="s">
        <v>13</v>
      </c>
      <c r="G1251" s="2" t="s">
        <v>21</v>
      </c>
      <c r="H1251" s="4" t="str">
        <f>HYPERLINK("https://www.shobserver.com/staticsg/res/html/web/newsDetail.html?id=910371","https://www.shobserver.com/staticsg/res/html/web/newsDetail.html?id=910371")</f>
        <v>https://www.shobserver.com/staticsg/res/html/web/newsDetail.html?id=910371</v>
      </c>
      <c r="I1251" s="3" t="s">
        <v>1821</v>
      </c>
      <c r="J1251" t="s">
        <v>16</v>
      </c>
    </row>
    <row r="1252" ht="23" customHeight="1" spans="1:10">
      <c r="A1252" s="2">
        <v>1251</v>
      </c>
      <c r="B1252" s="3" t="s">
        <v>1826</v>
      </c>
      <c r="C1252" s="2" t="s">
        <v>1831</v>
      </c>
      <c r="D1252" s="2" t="s">
        <v>41</v>
      </c>
      <c r="E1252" s="2" t="s">
        <v>20</v>
      </c>
      <c r="F1252" s="2" t="s">
        <v>13</v>
      </c>
      <c r="G1252" s="2" t="s">
        <v>21</v>
      </c>
      <c r="H1252" s="4" t="str">
        <f>HYPERLINK("https://baijiahao.baidu.com/s?id=1832146266789848583","https://baijiahao.baidu.com/s?id=1832146266789848583")</f>
        <v>https://baijiahao.baidu.com/s?id=1832146266789848583</v>
      </c>
      <c r="I1252" s="3" t="s">
        <v>1821</v>
      </c>
      <c r="J1252" t="s">
        <v>16</v>
      </c>
    </row>
    <row r="1253" ht="23" customHeight="1" spans="1:10">
      <c r="A1253" s="2">
        <v>1252</v>
      </c>
      <c r="B1253" s="3" t="s">
        <v>1826</v>
      </c>
      <c r="C1253" s="2" t="s">
        <v>1831</v>
      </c>
      <c r="D1253" s="2" t="s">
        <v>43</v>
      </c>
      <c r="E1253" s="2" t="s">
        <v>43</v>
      </c>
      <c r="F1253" s="2" t="s">
        <v>37</v>
      </c>
      <c r="G1253" s="2" t="s">
        <v>21</v>
      </c>
      <c r="H1253" s="4" t="str">
        <f>HYPERLINK("https://export.shobserver.com/baijiahao/html/910371.html","https://export.shobserver.com/baijiahao/html/910371.html")</f>
        <v>https://export.shobserver.com/baijiahao/html/910371.html</v>
      </c>
      <c r="I1253" s="3" t="s">
        <v>1821</v>
      </c>
      <c r="J1253" t="s">
        <v>16</v>
      </c>
    </row>
    <row r="1254" ht="23" customHeight="1" spans="1:10">
      <c r="A1254" s="2">
        <v>1253</v>
      </c>
      <c r="B1254" s="3" t="s">
        <v>1822</v>
      </c>
      <c r="C1254" s="2" t="s">
        <v>1831</v>
      </c>
      <c r="D1254" s="2" t="s">
        <v>20</v>
      </c>
      <c r="E1254" s="2" t="s">
        <v>1524</v>
      </c>
      <c r="F1254" s="2" t="s">
        <v>37</v>
      </c>
      <c r="G1254" s="2" t="s">
        <v>21</v>
      </c>
      <c r="H1254" s="4" t="str">
        <f>HYPERLINK("https://services.shobserver.com/news/viewNewsDetail?id=910371","https://services.shobserver.com/news/viewNewsDetail?id=910371")</f>
        <v>https://services.shobserver.com/news/viewNewsDetail?id=910371</v>
      </c>
      <c r="I1254" s="3" t="s">
        <v>1821</v>
      </c>
      <c r="J1254" t="s">
        <v>16</v>
      </c>
    </row>
    <row r="1255" ht="23" customHeight="1" spans="1:10">
      <c r="A1255" s="2">
        <v>1254</v>
      </c>
      <c r="B1255" s="3" t="s">
        <v>1822</v>
      </c>
      <c r="C1255" s="2" t="s">
        <v>1831</v>
      </c>
      <c r="D1255" s="2" t="s">
        <v>43</v>
      </c>
      <c r="E1255" s="2" t="s">
        <v>1524</v>
      </c>
      <c r="F1255" s="2" t="s">
        <v>13</v>
      </c>
      <c r="G1255" s="2" t="s">
        <v>21</v>
      </c>
      <c r="H1255" s="4" t="str">
        <f>HYPERLINK("https://www.jfdaily.com/staticsg/res/html/web/newsDetail.html?id=910371","https://www.jfdaily.com/staticsg/res/html/web/newsDetail.html?id=910371")</f>
        <v>https://www.jfdaily.com/staticsg/res/html/web/newsDetail.html?id=910371</v>
      </c>
      <c r="I1255" s="3" t="s">
        <v>1821</v>
      </c>
      <c r="J1255" t="s">
        <v>16</v>
      </c>
    </row>
    <row r="1256" ht="23" customHeight="1" spans="1:10">
      <c r="A1256" s="2">
        <v>1255</v>
      </c>
      <c r="B1256" s="3" t="s">
        <v>1832</v>
      </c>
      <c r="C1256" s="2" t="s">
        <v>1833</v>
      </c>
      <c r="D1256" s="2" t="s">
        <v>353</v>
      </c>
      <c r="E1256" s="2" t="s">
        <v>1834</v>
      </c>
      <c r="F1256" s="2" t="s">
        <v>354</v>
      </c>
      <c r="G1256" s="2" t="s">
        <v>83</v>
      </c>
      <c r="H1256" s="4" t="str">
        <f>HYPERLINK("https://weibo.com/2041117703/PrO1tlVxV","https://weibo.com/2041117703/PrO1tlVxV")</f>
        <v>https://weibo.com/2041117703/PrO1tlVxV</v>
      </c>
      <c r="I1256" s="3" t="s">
        <v>1835</v>
      </c>
      <c r="J1256" t="s">
        <v>16</v>
      </c>
    </row>
    <row r="1257" ht="23" customHeight="1" spans="1:10">
      <c r="A1257" s="2">
        <v>1256</v>
      </c>
      <c r="B1257" s="3" t="s">
        <v>1836</v>
      </c>
      <c r="C1257" s="2" t="s">
        <v>1837</v>
      </c>
      <c r="D1257" s="2" t="s">
        <v>1838</v>
      </c>
      <c r="E1257" s="2" t="s">
        <v>1838</v>
      </c>
      <c r="F1257" s="2" t="s">
        <v>13</v>
      </c>
      <c r="G1257" s="2" t="s">
        <v>21</v>
      </c>
      <c r="H1257" s="4" t="str">
        <f>HYPERLINK("https://www.ahcaijing.com/html/2025/xuanc_0514/556095.html","https://www.ahcaijing.com/html/2025/xuanc_0514/556095.html")</f>
        <v>https://www.ahcaijing.com/html/2025/xuanc_0514/556095.html</v>
      </c>
      <c r="I1257" s="3" t="s">
        <v>1839</v>
      </c>
      <c r="J1257" t="s">
        <v>16</v>
      </c>
    </row>
    <row r="1258" ht="23" customHeight="1" spans="1:10">
      <c r="A1258" s="2">
        <v>1257</v>
      </c>
      <c r="B1258" s="3" t="s">
        <v>1836</v>
      </c>
      <c r="C1258" s="2" t="s">
        <v>1837</v>
      </c>
      <c r="D1258" s="2" t="s">
        <v>107</v>
      </c>
      <c r="E1258" s="2" t="s">
        <v>1838</v>
      </c>
      <c r="F1258" s="2" t="s">
        <v>13</v>
      </c>
      <c r="G1258" s="2" t="s">
        <v>21</v>
      </c>
      <c r="H1258" s="4" t="str">
        <f>HYPERLINK("https://k.sina.cn/article_3205514555_bf10453b02001xkvu.html","https://k.sina.cn/article_3205514555_bf10453b02001xkvu.html")</f>
        <v>https://k.sina.cn/article_3205514555_bf10453b02001xkvu.html</v>
      </c>
      <c r="I1258" s="3" t="s">
        <v>1839</v>
      </c>
      <c r="J1258" t="s">
        <v>16</v>
      </c>
    </row>
    <row r="1259" ht="23" customHeight="1" spans="1:10">
      <c r="A1259" s="2">
        <v>1258</v>
      </c>
      <c r="B1259" s="3" t="s">
        <v>1840</v>
      </c>
      <c r="C1259" s="2" t="s">
        <v>1841</v>
      </c>
      <c r="D1259" s="2" t="s">
        <v>41</v>
      </c>
      <c r="E1259" s="2" t="s">
        <v>81</v>
      </c>
      <c r="F1259" s="2" t="s">
        <v>13</v>
      </c>
      <c r="G1259" s="2" t="s">
        <v>21</v>
      </c>
      <c r="H1259" s="4" t="str">
        <f>HYPERLINK("https://mbd.baidu.com/newspage/data/dtlandingwise?nid=dt_9583067524764004561","https://mbd.baidu.com/newspage/data/dtlandingwise?nid=dt_9583067524764004561")</f>
        <v>https://mbd.baidu.com/newspage/data/dtlandingwise?nid=dt_9583067524764004561</v>
      </c>
      <c r="I1259" s="3" t="s">
        <v>1842</v>
      </c>
      <c r="J1259" t="s">
        <v>16</v>
      </c>
    </row>
    <row r="1260" ht="23" customHeight="1" spans="1:10">
      <c r="A1260" s="2">
        <v>1259</v>
      </c>
      <c r="B1260" s="3" t="s">
        <v>1843</v>
      </c>
      <c r="C1260" s="2" t="s">
        <v>1844</v>
      </c>
      <c r="D1260" s="2" t="s">
        <v>1845</v>
      </c>
      <c r="E1260" s="2" t="s">
        <v>1845</v>
      </c>
      <c r="F1260" s="2" t="s">
        <v>37</v>
      </c>
      <c r="G1260" s="2" t="s">
        <v>83</v>
      </c>
      <c r="H1260" s="4" t="str">
        <f>HYPERLINK("http://m.hf365.com/article/447475","http://m.hf365.com/article/447475")</f>
        <v>http://m.hf365.com/article/447475</v>
      </c>
      <c r="I1260" s="3" t="s">
        <v>1846</v>
      </c>
      <c r="J1260" t="s">
        <v>16</v>
      </c>
    </row>
    <row r="1261" ht="23" customHeight="1" spans="1:10">
      <c r="A1261" s="2">
        <v>1260</v>
      </c>
      <c r="B1261" s="3" t="s">
        <v>1843</v>
      </c>
      <c r="C1261" s="2" t="s">
        <v>1847</v>
      </c>
      <c r="D1261" s="2" t="s">
        <v>1845</v>
      </c>
      <c r="E1261" s="2" t="s">
        <v>1845</v>
      </c>
      <c r="F1261" s="2" t="s">
        <v>13</v>
      </c>
      <c r="G1261" s="2" t="s">
        <v>83</v>
      </c>
      <c r="H1261" s="4" t="str">
        <f>HYPERLINK("http://www.hf365.com/2025/0513/1630891.shtml","http://www.hf365.com/2025/0513/1630891.shtml")</f>
        <v>http://www.hf365.com/2025/0513/1630891.shtml</v>
      </c>
      <c r="I1261" s="3" t="s">
        <v>1846</v>
      </c>
      <c r="J1261" t="s">
        <v>16</v>
      </c>
    </row>
    <row r="1262" ht="23" customHeight="1" spans="1:10">
      <c r="A1262" s="2">
        <v>1261</v>
      </c>
      <c r="B1262" s="3" t="s">
        <v>1843</v>
      </c>
      <c r="C1262" s="2" t="s">
        <v>1848</v>
      </c>
      <c r="D1262" s="2" t="s">
        <v>41</v>
      </c>
      <c r="E1262" s="2" t="s">
        <v>1845</v>
      </c>
      <c r="F1262" s="2" t="s">
        <v>13</v>
      </c>
      <c r="G1262" s="2" t="s">
        <v>83</v>
      </c>
      <c r="H1262" s="4" t="str">
        <f>HYPERLINK("https://baijiahao.baidu.com/s?id=1832007012865865243","https://baijiahao.baidu.com/s?id=1832007012865865243")</f>
        <v>https://baijiahao.baidu.com/s?id=1832007012865865243</v>
      </c>
      <c r="I1262" s="3" t="s">
        <v>1846</v>
      </c>
      <c r="J1262" t="s">
        <v>16</v>
      </c>
    </row>
    <row r="1263" ht="23" customHeight="1" spans="1:10">
      <c r="A1263" s="2">
        <v>1262</v>
      </c>
      <c r="B1263" s="3" t="s">
        <v>1849</v>
      </c>
      <c r="C1263" s="2" t="s">
        <v>1850</v>
      </c>
      <c r="D1263" s="2" t="s">
        <v>353</v>
      </c>
      <c r="E1263" s="2" t="s">
        <v>1321</v>
      </c>
      <c r="F1263" s="2" t="s">
        <v>354</v>
      </c>
      <c r="G1263" s="2" t="s">
        <v>83</v>
      </c>
      <c r="H1263" s="4" t="str">
        <f>HYPERLINK("https://weibo.com/2628314830/PrEyAsoi3","https://weibo.com/2628314830/PrEyAsoi3")</f>
        <v>https://weibo.com/2628314830/PrEyAsoi3</v>
      </c>
      <c r="I1263" s="3" t="s">
        <v>1851</v>
      </c>
      <c r="J1263" t="s">
        <v>16</v>
      </c>
    </row>
    <row r="1264" ht="23" customHeight="1" spans="1:10">
      <c r="A1264" s="2">
        <v>1263</v>
      </c>
      <c r="B1264" s="3" t="s">
        <v>1852</v>
      </c>
      <c r="C1264" s="2" t="s">
        <v>1853</v>
      </c>
      <c r="D1264" s="2" t="s">
        <v>34</v>
      </c>
      <c r="E1264" s="2" t="s">
        <v>98</v>
      </c>
      <c r="F1264" s="2" t="s">
        <v>13</v>
      </c>
      <c r="G1264" s="2" t="s">
        <v>14</v>
      </c>
      <c r="H1264" s="4" t="str">
        <f>HYPERLINK("https://kandianshare.html5.qq.com/v2/news/5101738763550593346","https://kandianshare.html5.qq.com/v2/news/5101738763550593346")</f>
        <v>https://kandianshare.html5.qq.com/v2/news/5101738763550593346</v>
      </c>
      <c r="I1264" s="3" t="s">
        <v>1854</v>
      </c>
      <c r="J1264" t="s">
        <v>16</v>
      </c>
    </row>
    <row r="1265" ht="23" customHeight="1" spans="1:10">
      <c r="A1265" s="2">
        <v>1264</v>
      </c>
      <c r="B1265" s="3" t="s">
        <v>1852</v>
      </c>
      <c r="C1265" s="2" t="s">
        <v>1853</v>
      </c>
      <c r="D1265" s="2" t="s">
        <v>35</v>
      </c>
      <c r="E1265" s="2" t="s">
        <v>98</v>
      </c>
      <c r="F1265" s="2" t="s">
        <v>13</v>
      </c>
      <c r="G1265" s="2" t="s">
        <v>14</v>
      </c>
      <c r="H1265" s="4" t="str">
        <f>HYPERLINK("https://new.qq.com/rain/a/20250513A061WZ00","https://new.qq.com/rain/a/20250513A061WZ00")</f>
        <v>https://new.qq.com/rain/a/20250513A061WZ00</v>
      </c>
      <c r="I1265" s="3" t="s">
        <v>1854</v>
      </c>
      <c r="J1265" t="s">
        <v>16</v>
      </c>
    </row>
    <row r="1266" ht="23" customHeight="1" spans="1:10">
      <c r="A1266" s="2">
        <v>1265</v>
      </c>
      <c r="B1266" s="3" t="s">
        <v>1852</v>
      </c>
      <c r="C1266" s="2" t="s">
        <v>1855</v>
      </c>
      <c r="D1266" s="2" t="s">
        <v>40</v>
      </c>
      <c r="E1266" s="2" t="s">
        <v>98</v>
      </c>
      <c r="F1266" s="2" t="s">
        <v>13</v>
      </c>
      <c r="G1266" s="2" t="s">
        <v>14</v>
      </c>
      <c r="H1266" s="4" t="str">
        <f>HYPERLINK("https://www.yoojia.com/article/9933797187114758539.html","https://www.yoojia.com/article/9933797187114758539.html")</f>
        <v>https://www.yoojia.com/article/9933797187114758539.html</v>
      </c>
      <c r="I1266" s="3" t="s">
        <v>1854</v>
      </c>
      <c r="J1266" t="s">
        <v>16</v>
      </c>
    </row>
    <row r="1267" ht="23" customHeight="1" spans="1:10">
      <c r="A1267" s="2">
        <v>1266</v>
      </c>
      <c r="B1267" s="3" t="s">
        <v>1852</v>
      </c>
      <c r="C1267" s="2" t="s">
        <v>1855</v>
      </c>
      <c r="D1267" s="2" t="s">
        <v>46</v>
      </c>
      <c r="E1267" s="2" t="s">
        <v>98</v>
      </c>
      <c r="F1267" s="2" t="s">
        <v>37</v>
      </c>
      <c r="G1267" s="2" t="s">
        <v>14</v>
      </c>
      <c r="H1267" s="4" t="str">
        <f>HYPERLINK("https://3g.k.sohu.com/t/n889300924?serialId=f0875ff3e014932f09ccd136f9c6f08d&amp;showType=889300924","https://3g.k.sohu.com/t/n889300924?serialId=f0875ff3e014932f09ccd136f9c6f08d&amp;showType=889300924")</f>
        <v>https://3g.k.sohu.com/t/n889300924?serialId=f0875ff3e014932f09ccd136f9c6f08d&amp;showType=889300924</v>
      </c>
      <c r="I1267" s="3" t="s">
        <v>1854</v>
      </c>
      <c r="J1267" t="s">
        <v>16</v>
      </c>
    </row>
    <row r="1268" ht="23" customHeight="1" spans="1:10">
      <c r="A1268" s="2">
        <v>1267</v>
      </c>
      <c r="B1268" s="3" t="s">
        <v>1852</v>
      </c>
      <c r="C1268" s="2" t="s">
        <v>1855</v>
      </c>
      <c r="D1268" s="2" t="s">
        <v>46</v>
      </c>
      <c r="E1268" s="2" t="s">
        <v>98</v>
      </c>
      <c r="F1268" s="2" t="s">
        <v>13</v>
      </c>
      <c r="G1268" s="2" t="s">
        <v>14</v>
      </c>
      <c r="H1268" s="4" t="str">
        <f>HYPERLINK("https://www.sohu.com/a/894721806_362042","https://www.sohu.com/a/894721806_362042")</f>
        <v>https://www.sohu.com/a/894721806_362042</v>
      </c>
      <c r="I1268" s="3" t="s">
        <v>1854</v>
      </c>
      <c r="J1268" t="s">
        <v>16</v>
      </c>
    </row>
    <row r="1269" ht="23" customHeight="1" spans="1:10">
      <c r="A1269" s="2">
        <v>1268</v>
      </c>
      <c r="B1269" s="3" t="s">
        <v>1852</v>
      </c>
      <c r="C1269" s="2" t="s">
        <v>1856</v>
      </c>
      <c r="D1269" s="2" t="s">
        <v>98</v>
      </c>
      <c r="E1269" s="2" t="s">
        <v>98</v>
      </c>
      <c r="F1269" s="2" t="s">
        <v>13</v>
      </c>
      <c r="G1269" s="2" t="s">
        <v>14</v>
      </c>
      <c r="H1269" s="4" t="str">
        <f>HYPERLINK("https://www.cnr.cn/shanghai/tt/20250513/t20250513_527168045.shtml","https://www.cnr.cn/shanghai/tt/20250513/t20250513_527168045.shtml")</f>
        <v>https://www.cnr.cn/shanghai/tt/20250513/t20250513_527168045.shtml</v>
      </c>
      <c r="I1269" s="3" t="s">
        <v>1854</v>
      </c>
      <c r="J1269" t="s">
        <v>16</v>
      </c>
    </row>
    <row r="1270" ht="23" customHeight="1" spans="1:10">
      <c r="A1270" s="2">
        <v>1269</v>
      </c>
      <c r="B1270" s="3" t="s">
        <v>1852</v>
      </c>
      <c r="C1270" s="2" t="s">
        <v>1857</v>
      </c>
      <c r="D1270" s="2" t="s">
        <v>46</v>
      </c>
      <c r="E1270" s="2" t="s">
        <v>98</v>
      </c>
      <c r="F1270" s="2" t="s">
        <v>37</v>
      </c>
      <c r="G1270" s="2" t="s">
        <v>14</v>
      </c>
      <c r="H1270" s="4" t="str">
        <f>HYPERLINK("https://3g.k.sohu.com/t/n889335647?serialId=978ec3c8fab5a089778ecd2daeb8753f&amp;showType=889335647","https://3g.k.sohu.com/t/n889335647?serialId=978ec3c8fab5a089778ecd2daeb8753f&amp;showType=889335647")</f>
        <v>https://3g.k.sohu.com/t/n889335647?serialId=978ec3c8fab5a089778ecd2daeb8753f&amp;showType=889335647</v>
      </c>
      <c r="I1270" s="3" t="s">
        <v>1854</v>
      </c>
      <c r="J1270" t="s">
        <v>16</v>
      </c>
    </row>
    <row r="1271" ht="23" customHeight="1" spans="1:10">
      <c r="A1271" s="2">
        <v>1270</v>
      </c>
      <c r="B1271" s="3" t="s">
        <v>1852</v>
      </c>
      <c r="C1271" s="2" t="s">
        <v>1857</v>
      </c>
      <c r="D1271" s="2" t="s">
        <v>98</v>
      </c>
      <c r="E1271" s="2" t="s">
        <v>1005</v>
      </c>
      <c r="F1271" s="2" t="s">
        <v>37</v>
      </c>
      <c r="G1271" s="2" t="s">
        <v>1006</v>
      </c>
      <c r="H1271" s="4" t="str">
        <f>HYPERLINK("https://apicnrapp.cnr.cn/html/share.html?id=29928086","https://apicnrapp.cnr.cn/html/share.html?id=29928086")</f>
        <v>https://apicnrapp.cnr.cn/html/share.html?id=29928086</v>
      </c>
      <c r="I1271" s="3" t="s">
        <v>1854</v>
      </c>
      <c r="J1271" t="s">
        <v>16</v>
      </c>
    </row>
    <row r="1272" ht="23" customHeight="1" spans="1:10">
      <c r="A1272" s="2">
        <v>1271</v>
      </c>
      <c r="B1272" s="3" t="s">
        <v>1852</v>
      </c>
      <c r="C1272" s="2" t="s">
        <v>1857</v>
      </c>
      <c r="D1272" s="2" t="s">
        <v>41</v>
      </c>
      <c r="E1272" s="2" t="s">
        <v>98</v>
      </c>
      <c r="F1272" s="2" t="s">
        <v>13</v>
      </c>
      <c r="G1272" s="2" t="s">
        <v>14</v>
      </c>
      <c r="H1272" s="4" t="str">
        <f>HYPERLINK("https://baijiahao.baidu.com/s?id=1831992326678856414","https://baijiahao.baidu.com/s?id=1831992326678856414")</f>
        <v>https://baijiahao.baidu.com/s?id=1831992326678856414</v>
      </c>
      <c r="I1272" s="3" t="s">
        <v>1854</v>
      </c>
      <c r="J1272" t="s">
        <v>16</v>
      </c>
    </row>
    <row r="1273" ht="23" customHeight="1" spans="1:10">
      <c r="A1273" s="2">
        <v>1272</v>
      </c>
      <c r="B1273" s="3" t="s">
        <v>1858</v>
      </c>
      <c r="C1273" s="2" t="s">
        <v>1859</v>
      </c>
      <c r="D1273" s="2" t="s">
        <v>334</v>
      </c>
      <c r="E1273" s="2" t="s">
        <v>1860</v>
      </c>
      <c r="F1273" s="2" t="s">
        <v>37</v>
      </c>
      <c r="G1273" s="2" t="s">
        <v>26</v>
      </c>
      <c r="H1273" s="4" t="str">
        <f>HYPERLINK("https://j.021east.com/m/1747027329045500","https://j.021east.com/m/1747027329045500")</f>
        <v>https://j.021east.com/m/1747027329045500</v>
      </c>
      <c r="I1273" s="3" t="s">
        <v>1861</v>
      </c>
      <c r="J1273" t="s">
        <v>16</v>
      </c>
    </row>
    <row r="1274" ht="23" customHeight="1" spans="1:10">
      <c r="A1274" s="2">
        <v>1273</v>
      </c>
      <c r="B1274" s="3" t="s">
        <v>1862</v>
      </c>
      <c r="C1274" s="2" t="s">
        <v>1863</v>
      </c>
      <c r="D1274" s="2" t="s">
        <v>215</v>
      </c>
      <c r="E1274" s="2" t="s">
        <v>215</v>
      </c>
      <c r="F1274" s="2" t="s">
        <v>13</v>
      </c>
      <c r="G1274" s="2" t="s">
        <v>21</v>
      </c>
      <c r="H1274" s="4" t="str">
        <f>HYPERLINK("http://edu.eastday.com/node2/jypd/n5/20250508/u1ai64956.html","http://edu.eastday.com/node2/jypd/n5/20250508/u1ai64956.html")</f>
        <v>http://edu.eastday.com/node2/jypd/n5/20250508/u1ai64956.html</v>
      </c>
      <c r="I1274" s="3" t="s">
        <v>1864</v>
      </c>
      <c r="J1274" t="s">
        <v>16</v>
      </c>
    </row>
    <row r="1275" ht="23" customHeight="1" spans="1:10">
      <c r="A1275" s="2">
        <v>1274</v>
      </c>
      <c r="B1275" s="3" t="s">
        <v>1865</v>
      </c>
      <c r="C1275" s="2" t="s">
        <v>1866</v>
      </c>
      <c r="D1275" s="2" t="s">
        <v>1867</v>
      </c>
      <c r="E1275" s="2" t="s">
        <v>1867</v>
      </c>
      <c r="F1275" s="2" t="s">
        <v>145</v>
      </c>
      <c r="G1275" s="2" t="s">
        <v>21</v>
      </c>
      <c r="H1275" s="4" t="str">
        <f>HYPERLINK("https://web.shobserver.com/staticsg/res/html/journal/detail.html?code=xmjtzk&amp;date=2025-05-07&amp;id=433848&amp;page=03","https://web.shobserver.com/staticsg/res/html/journal/detail.html?code=xmjtzk&amp;date=2025-05-07&amp;id=433848&amp;page=03")</f>
        <v>https://web.shobserver.com/staticsg/res/html/journal/detail.html?code=xmjtzk&amp;date=2025-05-07&amp;id=433848&amp;page=03</v>
      </c>
      <c r="I1275" s="3" t="s">
        <v>1868</v>
      </c>
      <c r="J1275" t="s">
        <v>16</v>
      </c>
    </row>
    <row r="1276" ht="23" customHeight="1" spans="1:10">
      <c r="A1276" s="2">
        <v>1275</v>
      </c>
      <c r="B1276" s="3" t="s">
        <v>1869</v>
      </c>
      <c r="C1276" s="2" t="s">
        <v>1870</v>
      </c>
      <c r="D1276" s="2" t="s">
        <v>334</v>
      </c>
      <c r="E1276" s="2" t="s">
        <v>334</v>
      </c>
      <c r="F1276" s="2" t="s">
        <v>37</v>
      </c>
      <c r="G1276" s="2" t="s">
        <v>26</v>
      </c>
      <c r="H1276" s="4" t="str">
        <f>HYPERLINK("https://j.021east.com/m/1746070011048852","https://j.021east.com/m/1746070011048852")</f>
        <v>https://j.021east.com/m/1746070011048852</v>
      </c>
      <c r="I1276" s="3" t="s">
        <v>1871</v>
      </c>
      <c r="J1276" t="s">
        <v>16</v>
      </c>
    </row>
    <row r="1277" ht="23" customHeight="1" spans="1:10">
      <c r="A1277" s="2">
        <v>1276</v>
      </c>
      <c r="B1277" s="3" t="s">
        <v>1869</v>
      </c>
      <c r="C1277" s="2" t="s">
        <v>1872</v>
      </c>
      <c r="D1277" s="2" t="s">
        <v>41</v>
      </c>
      <c r="E1277" s="2" t="s">
        <v>126</v>
      </c>
      <c r="F1277" s="2" t="s">
        <v>13</v>
      </c>
      <c r="G1277" s="2" t="s">
        <v>21</v>
      </c>
      <c r="H1277" s="4" t="str">
        <f>HYPERLINK("https://baijiahao.baidu.com/s?id=1830831391019003036","https://baijiahao.baidu.com/s?id=1830831391019003036")</f>
        <v>https://baijiahao.baidu.com/s?id=1830831391019003036</v>
      </c>
      <c r="I1277" s="3" t="s">
        <v>1873</v>
      </c>
      <c r="J1277" t="s">
        <v>16</v>
      </c>
    </row>
    <row r="1278" ht="23" customHeight="1" spans="1:10">
      <c r="A1278" s="2">
        <v>1277</v>
      </c>
      <c r="B1278" s="3" t="s">
        <v>1869</v>
      </c>
      <c r="C1278" s="2" t="s">
        <v>1874</v>
      </c>
      <c r="D1278" s="2" t="s">
        <v>41</v>
      </c>
      <c r="E1278" s="2" t="s">
        <v>20</v>
      </c>
      <c r="F1278" s="2" t="s">
        <v>13</v>
      </c>
      <c r="G1278" s="2" t="s">
        <v>21</v>
      </c>
      <c r="H1278" s="4" t="str">
        <f>HYPERLINK("https://mbd.baidu.com/newspage/data/dtlandingwise?nid=dt_9056529977493659010","https://mbd.baidu.com/newspage/data/dtlandingwise?nid=dt_9056529977493659010")</f>
        <v>https://mbd.baidu.com/newspage/data/dtlandingwise?nid=dt_9056529977493659010</v>
      </c>
      <c r="I1278" s="3" t="s">
        <v>1875</v>
      </c>
      <c r="J1278" t="s">
        <v>16</v>
      </c>
    </row>
    <row r="1279" ht="23" customHeight="1" spans="1:10">
      <c r="A1279" s="2">
        <v>1278</v>
      </c>
      <c r="B1279" s="3" t="s">
        <v>1869</v>
      </c>
      <c r="C1279" s="2" t="s">
        <v>1876</v>
      </c>
      <c r="D1279" s="2" t="s">
        <v>41</v>
      </c>
      <c r="E1279" s="2" t="s">
        <v>20</v>
      </c>
      <c r="F1279" s="2" t="s">
        <v>13</v>
      </c>
      <c r="G1279" s="2" t="s">
        <v>21</v>
      </c>
      <c r="H1279" s="4" t="str">
        <f>HYPERLINK("https://baijiahao.baidu.com/s?id=1830829004408416232","https://baijiahao.baidu.com/s?id=1830829004408416232")</f>
        <v>https://baijiahao.baidu.com/s?id=1830829004408416232</v>
      </c>
      <c r="I1279" s="3" t="s">
        <v>1873</v>
      </c>
      <c r="J1279" t="s">
        <v>16</v>
      </c>
    </row>
    <row r="1280" ht="23" customHeight="1" spans="1:10">
      <c r="A1280" s="2">
        <v>1279</v>
      </c>
      <c r="B1280" s="3" t="s">
        <v>1877</v>
      </c>
      <c r="C1280" s="2" t="s">
        <v>1878</v>
      </c>
      <c r="D1280" s="2" t="s">
        <v>91</v>
      </c>
      <c r="E1280" s="2" t="s">
        <v>1536</v>
      </c>
      <c r="F1280" s="2" t="s">
        <v>91</v>
      </c>
      <c r="G1280" s="2" t="s">
        <v>21</v>
      </c>
      <c r="H1280" s="4" t="str">
        <f>HYPERLINK("http://mp.weixin.qq.com/s?__biz=MzA4ODk3NTcxMQ==&amp;mid=2650313005&amp;idx=2&amp;sn=5808184e9a9cee376ea26a831562cec8","http://mp.weixin.qq.com/s?__biz=MzA4ODk3NTcxMQ==&amp;mid=2650313005&amp;idx=2&amp;sn=5808184e9a9cee376ea26a831562cec8")</f>
        <v>http://mp.weixin.qq.com/s?__biz=MzA4ODk3NTcxMQ==&amp;mid=2650313005&amp;idx=2&amp;sn=5808184e9a9cee376ea26a831562cec8</v>
      </c>
      <c r="I1280" s="3" t="s">
        <v>1879</v>
      </c>
      <c r="J1280" t="s">
        <v>16</v>
      </c>
    </row>
    <row r="1281" ht="23" customHeight="1" spans="1:10">
      <c r="A1281" s="2">
        <v>1280</v>
      </c>
      <c r="B1281" s="3" t="s">
        <v>1880</v>
      </c>
      <c r="C1281" s="2" t="s">
        <v>1881</v>
      </c>
      <c r="D1281" s="2" t="s">
        <v>436</v>
      </c>
      <c r="E1281" s="2" t="s">
        <v>436</v>
      </c>
      <c r="F1281" s="2" t="s">
        <v>13</v>
      </c>
      <c r="G1281" s="2" t="s">
        <v>26</v>
      </c>
      <c r="H1281" s="4" t="str">
        <f>HYPERLINK("https://www.csjcs.com/news/show/143dd5e8bb9af05d.html","https://www.csjcs.com/news/show/143dd5e8bb9af05d.html")</f>
        <v>https://www.csjcs.com/news/show/143dd5e8bb9af05d.html</v>
      </c>
      <c r="I1281" s="3" t="s">
        <v>1882</v>
      </c>
      <c r="J1281" t="s">
        <v>16</v>
      </c>
    </row>
    <row r="1282" ht="23" customHeight="1" spans="1:10">
      <c r="A1282" s="2">
        <v>1281</v>
      </c>
      <c r="B1282" s="3" t="s">
        <v>1883</v>
      </c>
      <c r="C1282" s="2" t="s">
        <v>1884</v>
      </c>
      <c r="D1282" s="2" t="s">
        <v>40</v>
      </c>
      <c r="E1282" s="2" t="s">
        <v>20</v>
      </c>
      <c r="F1282" s="2" t="s">
        <v>13</v>
      </c>
      <c r="G1282" s="2" t="s">
        <v>21</v>
      </c>
      <c r="H1282" s="4" t="str">
        <f>HYPERLINK("https://www.yoojia.com/article/8798351483323056178.html","https://www.yoojia.com/article/8798351483323056178.html")</f>
        <v>https://www.yoojia.com/article/8798351483323056178.html</v>
      </c>
      <c r="I1282" s="3" t="s">
        <v>1885</v>
      </c>
      <c r="J1282" t="s">
        <v>16</v>
      </c>
    </row>
    <row r="1283" ht="23" customHeight="1" spans="1:10">
      <c r="A1283" s="2">
        <v>1282</v>
      </c>
      <c r="B1283" s="3" t="s">
        <v>1883</v>
      </c>
      <c r="C1283" s="2" t="s">
        <v>1886</v>
      </c>
      <c r="D1283" s="2" t="s">
        <v>41</v>
      </c>
      <c r="E1283" s="2" t="s">
        <v>20</v>
      </c>
      <c r="F1283" s="2" t="s">
        <v>13</v>
      </c>
      <c r="G1283" s="2" t="s">
        <v>21</v>
      </c>
      <c r="H1283" s="4" t="str">
        <f>HYPERLINK("https://mbd.baidu.com/newspage/data/dtlandingwise?nid=dt_8798351483323056178","https://mbd.baidu.com/newspage/data/dtlandingwise?nid=dt_8798351483323056178")</f>
        <v>https://mbd.baidu.com/newspage/data/dtlandingwise?nid=dt_8798351483323056178</v>
      </c>
      <c r="I1283" s="3" t="s">
        <v>1887</v>
      </c>
      <c r="J1283" t="s">
        <v>16</v>
      </c>
    </row>
    <row r="1284" ht="23" customHeight="1" spans="1:10">
      <c r="A1284" s="2">
        <v>1283</v>
      </c>
      <c r="B1284" s="3" t="s">
        <v>1883</v>
      </c>
      <c r="C1284" s="2" t="s">
        <v>1888</v>
      </c>
      <c r="D1284" s="2" t="s">
        <v>41</v>
      </c>
      <c r="E1284" s="2" t="s">
        <v>20</v>
      </c>
      <c r="F1284" s="2" t="s">
        <v>13</v>
      </c>
      <c r="G1284" s="2" t="s">
        <v>21</v>
      </c>
      <c r="H1284" s="4" t="str">
        <f>HYPERLINK("https://baijiahao.baidu.com/s?id=1830804433761051361","https://baijiahao.baidu.com/s?id=1830804433761051361")</f>
        <v>https://baijiahao.baidu.com/s?id=1830804433761051361</v>
      </c>
      <c r="I1284" s="3" t="s">
        <v>1889</v>
      </c>
      <c r="J1284" t="s">
        <v>16</v>
      </c>
    </row>
    <row r="1285" ht="23" customHeight="1" spans="1:10">
      <c r="A1285" s="2">
        <v>1284</v>
      </c>
      <c r="B1285" s="3" t="s">
        <v>1877</v>
      </c>
      <c r="C1285" s="2" t="s">
        <v>1890</v>
      </c>
      <c r="D1285" s="2" t="s">
        <v>40</v>
      </c>
      <c r="E1285" s="2" t="s">
        <v>159</v>
      </c>
      <c r="F1285" s="2" t="s">
        <v>13</v>
      </c>
      <c r="G1285" s="2" t="s">
        <v>21</v>
      </c>
      <c r="H1285" s="4" t="str">
        <f>HYPERLINK("https://www.yoojia.com/article/8882487689300694216.html","https://www.yoojia.com/article/8882487689300694216.html")</f>
        <v>https://www.yoojia.com/article/8882487689300694216.html</v>
      </c>
      <c r="I1285" s="3" t="s">
        <v>1891</v>
      </c>
      <c r="J1285" t="s">
        <v>16</v>
      </c>
    </row>
    <row r="1286" ht="23" customHeight="1" spans="1:10">
      <c r="A1286" s="2">
        <v>1285</v>
      </c>
      <c r="B1286" s="3" t="s">
        <v>1877</v>
      </c>
      <c r="C1286" s="2" t="s">
        <v>1890</v>
      </c>
      <c r="D1286" s="2" t="s">
        <v>41</v>
      </c>
      <c r="E1286" s="2" t="s">
        <v>159</v>
      </c>
      <c r="F1286" s="2" t="s">
        <v>13</v>
      </c>
      <c r="G1286" s="2" t="s">
        <v>21</v>
      </c>
      <c r="H1286" s="4" t="str">
        <f>HYPERLINK("https://baijiahao.baidu.com/s?id=1830801017360174514","https://baijiahao.baidu.com/s?id=1830801017360174514")</f>
        <v>https://baijiahao.baidu.com/s?id=1830801017360174514</v>
      </c>
      <c r="I1286" s="3" t="s">
        <v>1892</v>
      </c>
      <c r="J1286" t="s">
        <v>16</v>
      </c>
    </row>
    <row r="1287" ht="23" customHeight="1" spans="1:10">
      <c r="A1287" s="2">
        <v>1286</v>
      </c>
      <c r="B1287" s="3" t="s">
        <v>1877</v>
      </c>
      <c r="C1287" s="2" t="s">
        <v>1893</v>
      </c>
      <c r="D1287" s="2" t="s">
        <v>347</v>
      </c>
      <c r="E1287" s="2" t="s">
        <v>348</v>
      </c>
      <c r="F1287" s="2" t="s">
        <v>37</v>
      </c>
      <c r="G1287" s="2" t="s">
        <v>26</v>
      </c>
      <c r="H1287" s="4" t="str">
        <f>HYPERLINK("https://static.zhoudaosh.com/files/cnews/2025/20250430/8C8F01C8C7582146138471ED7A473C9CEC01978832FE40AC7CD077A9153C6789/1.html","https://static.zhoudaosh.com/files/cnews/2025/20250430/8C8F01C8C7582146138471ED7A473C9CEC01978832FE40AC7CD077A9153C6789/1.html")</f>
        <v>https://static.zhoudaosh.com/files/cnews/2025/20250430/8C8F01C8C7582146138471ED7A473C9CEC01978832FE40AC7CD077A9153C6789/1.html</v>
      </c>
      <c r="I1287" s="3" t="s">
        <v>1894</v>
      </c>
      <c r="J1287" t="s">
        <v>16</v>
      </c>
    </row>
    <row r="1288" ht="23" customHeight="1" spans="1:10">
      <c r="A1288" s="2">
        <v>1287</v>
      </c>
      <c r="B1288" s="3" t="s">
        <v>1895</v>
      </c>
      <c r="C1288" s="2" t="s">
        <v>1896</v>
      </c>
      <c r="D1288" s="2" t="s">
        <v>256</v>
      </c>
      <c r="E1288" s="2" t="s">
        <v>256</v>
      </c>
      <c r="F1288" s="2" t="s">
        <v>13</v>
      </c>
      <c r="G1288" s="2" t="s">
        <v>21</v>
      </c>
      <c r="H1288" s="4" t="str">
        <f>HYPERLINK("https://www.xhby.net/content/s680af5c1e4b08f510b8d9b65.html","https://www.xhby.net/content/s680af5c1e4b08f510b8d9b65.html")</f>
        <v>https://www.xhby.net/content/s680af5c1e4b08f510b8d9b65.html</v>
      </c>
      <c r="I1288" s="3" t="s">
        <v>1897</v>
      </c>
      <c r="J1288" t="s">
        <v>16</v>
      </c>
    </row>
    <row r="1289" ht="23" customHeight="1" spans="1:10">
      <c r="A1289" s="2">
        <v>1288</v>
      </c>
      <c r="B1289" s="3" t="s">
        <v>1895</v>
      </c>
      <c r="C1289" s="2" t="s">
        <v>1898</v>
      </c>
      <c r="D1289" s="2" t="s">
        <v>46</v>
      </c>
      <c r="E1289" s="2" t="s">
        <v>1899</v>
      </c>
      <c r="F1289" s="2" t="s">
        <v>13</v>
      </c>
      <c r="G1289" s="2" t="s">
        <v>21</v>
      </c>
      <c r="H1289" s="4" t="str">
        <f>HYPERLINK("https://www.sohu.com/a/888700745_121455647","https://www.sohu.com/a/888700745_121455647")</f>
        <v>https://www.sohu.com/a/888700745_121455647</v>
      </c>
      <c r="I1289" s="3" t="s">
        <v>1897</v>
      </c>
      <c r="J1289" t="s">
        <v>16</v>
      </c>
    </row>
    <row r="1290" ht="23" customHeight="1" spans="1:10">
      <c r="A1290" s="2">
        <v>1289</v>
      </c>
      <c r="B1290" s="3" t="s">
        <v>1895</v>
      </c>
      <c r="C1290" s="2" t="s">
        <v>1898</v>
      </c>
      <c r="D1290" s="2" t="s">
        <v>46</v>
      </c>
      <c r="E1290" s="2" t="s">
        <v>1899</v>
      </c>
      <c r="F1290" s="2" t="s">
        <v>37</v>
      </c>
      <c r="G1290" s="2" t="s">
        <v>21</v>
      </c>
      <c r="H1290" s="4" t="str">
        <f>HYPERLINK("https://3g.k.sohu.com/t/n884007381?serialId=80674a02740eb3e23b83722b12c302fa&amp;showType=884007381","https://3g.k.sohu.com/t/n884007381?serialId=80674a02740eb3e23b83722b12c302fa&amp;showType=884007381")</f>
        <v>https://3g.k.sohu.com/t/n884007381?serialId=80674a02740eb3e23b83722b12c302fa&amp;showType=884007381</v>
      </c>
      <c r="I1290" s="3" t="s">
        <v>1900</v>
      </c>
      <c r="J1290" t="s">
        <v>16</v>
      </c>
    </row>
    <row r="1291" ht="23" customHeight="1" spans="1:10">
      <c r="A1291" s="2">
        <v>1290</v>
      </c>
      <c r="B1291" s="3" t="s">
        <v>1895</v>
      </c>
      <c r="C1291" s="2" t="s">
        <v>1901</v>
      </c>
      <c r="D1291" s="2" t="s">
        <v>1899</v>
      </c>
      <c r="E1291" s="2" t="s">
        <v>1899</v>
      </c>
      <c r="F1291" s="2" t="s">
        <v>145</v>
      </c>
      <c r="G1291" s="2" t="s">
        <v>21</v>
      </c>
      <c r="H1291" s="4" t="str">
        <f>HYPERLINK("http://xh.xhby.net/pc/con/202504/25/content_1442825.html","http://xh.xhby.net/pc/con/202504/25/content_1442825.html")</f>
        <v>http://xh.xhby.net/pc/con/202504/25/content_1442825.html</v>
      </c>
      <c r="I1291" s="3" t="s">
        <v>1902</v>
      </c>
      <c r="J1291" t="s">
        <v>16</v>
      </c>
    </row>
    <row r="1292" ht="23" customHeight="1" spans="1:10">
      <c r="A1292" s="2">
        <v>1291</v>
      </c>
      <c r="B1292" s="3" t="s">
        <v>1895</v>
      </c>
      <c r="C1292" s="2" t="s">
        <v>1903</v>
      </c>
      <c r="D1292" s="2" t="s">
        <v>107</v>
      </c>
      <c r="E1292" s="2" t="s">
        <v>108</v>
      </c>
      <c r="F1292" s="2" t="s">
        <v>13</v>
      </c>
      <c r="G1292" s="2" t="s">
        <v>14</v>
      </c>
      <c r="H1292" s="4" t="str">
        <f>HYPERLINK("https://k.sina.cn/article_7517400647_1c0126e4705906ux14.html","https://k.sina.cn/article_7517400647_1c0126e4705906ux14.html")</f>
        <v>https://k.sina.cn/article_7517400647_1c0126e4705906ux14.html</v>
      </c>
      <c r="I1292" s="3" t="s">
        <v>1900</v>
      </c>
      <c r="J1292" t="s">
        <v>16</v>
      </c>
    </row>
    <row r="1293" ht="23" customHeight="1" spans="1:10">
      <c r="A1293" s="2">
        <v>1292</v>
      </c>
      <c r="B1293" s="3" t="s">
        <v>1895</v>
      </c>
      <c r="C1293" s="2" t="s">
        <v>1903</v>
      </c>
      <c r="D1293" s="2" t="s">
        <v>450</v>
      </c>
      <c r="E1293" s="2" t="s">
        <v>256</v>
      </c>
      <c r="F1293" s="2" t="s">
        <v>13</v>
      </c>
      <c r="G1293" s="2" t="s">
        <v>21</v>
      </c>
      <c r="H1293" s="4" t="str">
        <f>HYPERLINK("http://a.mp.uc.cn/article.html?uc_param_str=frdnsnpfvecpntnwprdssskt&amp;wm_cid=682644713569798144","http://a.mp.uc.cn/article.html?uc_param_str=frdnsnpfvecpntnwprdssskt&amp;wm_cid=682644713569798144")</f>
        <v>http://a.mp.uc.cn/article.html?uc_param_str=frdnsnpfvecpntnwprdssskt&amp;wm_cid=682644713569798144</v>
      </c>
      <c r="I1293" s="3" t="s">
        <v>1897</v>
      </c>
      <c r="J1293" t="s">
        <v>16</v>
      </c>
    </row>
    <row r="1294" ht="23" customHeight="1" spans="1:10">
      <c r="A1294" s="2">
        <v>1293</v>
      </c>
      <c r="B1294" s="3" t="s">
        <v>1895</v>
      </c>
      <c r="C1294" s="2" t="s">
        <v>1903</v>
      </c>
      <c r="D1294" s="2" t="s">
        <v>46</v>
      </c>
      <c r="E1294" s="2" t="s">
        <v>1899</v>
      </c>
      <c r="F1294" s="2" t="s">
        <v>37</v>
      </c>
      <c r="G1294" s="2" t="s">
        <v>21</v>
      </c>
      <c r="H1294" s="4" t="str">
        <f>HYPERLINK("https://3g.k.sohu.com/t/n884043830?serialId=3b1ca6804eb9838bb61bc44c505f657e&amp;showType=884043830","https://3g.k.sohu.com/t/n884043830?serialId=3b1ca6804eb9838bb61bc44c505f657e&amp;showType=884043830")</f>
        <v>https://3g.k.sohu.com/t/n884043830?serialId=3b1ca6804eb9838bb61bc44c505f657e&amp;showType=884043830</v>
      </c>
      <c r="I1294" s="3" t="s">
        <v>1900</v>
      </c>
      <c r="J1294" t="s">
        <v>16</v>
      </c>
    </row>
    <row r="1295" ht="23" customHeight="1" spans="1:10">
      <c r="A1295" s="2">
        <v>1294</v>
      </c>
      <c r="B1295" s="3" t="s">
        <v>1895</v>
      </c>
      <c r="C1295" s="2" t="s">
        <v>1903</v>
      </c>
      <c r="D1295" s="2" t="s">
        <v>1251</v>
      </c>
      <c r="E1295" s="2" t="s">
        <v>256</v>
      </c>
      <c r="F1295" s="2" t="s">
        <v>37</v>
      </c>
      <c r="G1295" s="2" t="s">
        <v>26</v>
      </c>
      <c r="H1295" s="4" t="str">
        <f>HYPERLINK("http://m.uczzd.cn/ucnews/news?aid=12753005731888144659","http://m.uczzd.cn/ucnews/news?aid=12753005731888144659")</f>
        <v>http://m.uczzd.cn/ucnews/news?aid=12753005731888144659</v>
      </c>
      <c r="I1295" s="3" t="s">
        <v>1897</v>
      </c>
      <c r="J1295" t="s">
        <v>16</v>
      </c>
    </row>
    <row r="1296" ht="23" customHeight="1" spans="1:10">
      <c r="A1296" s="2">
        <v>1295</v>
      </c>
      <c r="B1296" s="3" t="s">
        <v>1904</v>
      </c>
      <c r="C1296" s="2" t="s">
        <v>1905</v>
      </c>
      <c r="D1296" s="2" t="s">
        <v>41</v>
      </c>
      <c r="E1296" s="2" t="s">
        <v>20</v>
      </c>
      <c r="F1296" s="2" t="s">
        <v>13</v>
      </c>
      <c r="G1296" s="2" t="s">
        <v>21</v>
      </c>
      <c r="H1296" s="4" t="str">
        <f>HYPERLINK("https://baijiahao.baidu.com/s?id=1830189013606885435","https://baijiahao.baidu.com/s?id=1830189013606885435")</f>
        <v>https://baijiahao.baidu.com/s?id=1830189013606885435</v>
      </c>
      <c r="I1296" s="3" t="s">
        <v>1906</v>
      </c>
      <c r="J1296" t="s">
        <v>16</v>
      </c>
    </row>
    <row r="1297" ht="23" customHeight="1" spans="1:10">
      <c r="A1297" s="2">
        <v>1296</v>
      </c>
      <c r="B1297" s="3" t="s">
        <v>1904</v>
      </c>
      <c r="C1297" s="2" t="s">
        <v>1905</v>
      </c>
      <c r="D1297" s="2" t="s">
        <v>41</v>
      </c>
      <c r="E1297" s="2" t="s">
        <v>20</v>
      </c>
      <c r="F1297" s="2" t="s">
        <v>13</v>
      </c>
      <c r="G1297" s="2" t="s">
        <v>21</v>
      </c>
      <c r="H1297" s="4" t="str">
        <f>HYPERLINK("https://mbd.baidu.com/newspage/data/dtlandingwise?nid=dt_9412231532600091726","https://mbd.baidu.com/newspage/data/dtlandingwise?nid=dt_9412231532600091726")</f>
        <v>https://mbd.baidu.com/newspage/data/dtlandingwise?nid=dt_9412231532600091726</v>
      </c>
      <c r="I1297" s="3" t="s">
        <v>1907</v>
      </c>
      <c r="J1297" t="s">
        <v>16</v>
      </c>
    </row>
    <row r="1298" ht="23" customHeight="1" spans="1:10">
      <c r="A1298" s="2">
        <v>1297</v>
      </c>
      <c r="B1298" s="3" t="s">
        <v>1908</v>
      </c>
      <c r="C1298" s="2" t="s">
        <v>1909</v>
      </c>
      <c r="D1298" s="2" t="s">
        <v>226</v>
      </c>
      <c r="E1298" s="2" t="s">
        <v>226</v>
      </c>
      <c r="F1298" s="2" t="s">
        <v>13</v>
      </c>
      <c r="G1298" s="2" t="s">
        <v>14</v>
      </c>
      <c r="H1298" s="4" t="str">
        <f>HYPERLINK("https://www.cet.com.cn/wzsy/cyzx/10195792.shtml","https://www.cet.com.cn/wzsy/cyzx/10195792.shtml")</f>
        <v>https://www.cet.com.cn/wzsy/cyzx/10195792.shtml</v>
      </c>
      <c r="I1298" s="3" t="s">
        <v>1910</v>
      </c>
      <c r="J1298" t="s">
        <v>16</v>
      </c>
    </row>
    <row r="1299" ht="23" customHeight="1" spans="1:10">
      <c r="A1299" s="2">
        <v>1298</v>
      </c>
      <c r="B1299" s="3" t="s">
        <v>1911</v>
      </c>
      <c r="C1299" s="2" t="s">
        <v>1912</v>
      </c>
      <c r="D1299" s="2" t="s">
        <v>41</v>
      </c>
      <c r="E1299" s="2" t="s">
        <v>20</v>
      </c>
      <c r="F1299" s="2" t="s">
        <v>13</v>
      </c>
      <c r="G1299" s="2" t="s">
        <v>21</v>
      </c>
      <c r="H1299" s="4" t="str">
        <f>HYPERLINK("https://mbd.baidu.com/newspage/data/dtlandingwise?nid=dt_9585388477884689066","https://mbd.baidu.com/newspage/data/dtlandingwise?nid=dt_9585388477884689066")</f>
        <v>https://mbd.baidu.com/newspage/data/dtlandingwise?nid=dt_9585388477884689066</v>
      </c>
      <c r="I1299" s="3" t="s">
        <v>1907</v>
      </c>
      <c r="J1299" t="s">
        <v>16</v>
      </c>
    </row>
    <row r="1300" ht="23" customHeight="1" spans="1:10">
      <c r="A1300" s="2">
        <v>1299</v>
      </c>
      <c r="B1300" s="3" t="s">
        <v>1911</v>
      </c>
      <c r="C1300" s="2" t="s">
        <v>1913</v>
      </c>
      <c r="D1300" s="2" t="s">
        <v>41</v>
      </c>
      <c r="E1300" s="2" t="s">
        <v>20</v>
      </c>
      <c r="F1300" s="2" t="s">
        <v>13</v>
      </c>
      <c r="G1300" s="2" t="s">
        <v>21</v>
      </c>
      <c r="H1300" s="4" t="str">
        <f>HYPERLINK("https://baijiahao.baidu.com/s?id=1830028662484518656","https://baijiahao.baidu.com/s?id=1830028662484518656")</f>
        <v>https://baijiahao.baidu.com/s?id=1830028662484518656</v>
      </c>
      <c r="I1300" s="3" t="s">
        <v>1906</v>
      </c>
      <c r="J1300" t="s">
        <v>16</v>
      </c>
    </row>
    <row r="1301" ht="23" customHeight="1" spans="1:10">
      <c r="A1301" s="2">
        <v>1300</v>
      </c>
      <c r="B1301" s="3" t="s">
        <v>1908</v>
      </c>
      <c r="C1301" s="2" t="s">
        <v>1914</v>
      </c>
      <c r="D1301" s="2" t="s">
        <v>35</v>
      </c>
      <c r="E1301" s="2" t="s">
        <v>224</v>
      </c>
      <c r="F1301" s="2" t="s">
        <v>13</v>
      </c>
      <c r="G1301" s="2" t="s">
        <v>14</v>
      </c>
      <c r="H1301" s="4" t="str">
        <f>HYPERLINK("https://new.qq.com/rain/a/20250421A07II300","https://new.qq.com/rain/a/20250421A07II300")</f>
        <v>https://new.qq.com/rain/a/20250421A07II300</v>
      </c>
      <c r="I1301" s="3" t="s">
        <v>1915</v>
      </c>
      <c r="J1301" t="s">
        <v>16</v>
      </c>
    </row>
    <row r="1302" ht="23" customHeight="1" spans="1:10">
      <c r="A1302" s="2">
        <v>1301</v>
      </c>
      <c r="B1302" s="3" t="s">
        <v>1908</v>
      </c>
      <c r="C1302" s="2" t="s">
        <v>1914</v>
      </c>
      <c r="D1302" s="2" t="s">
        <v>34</v>
      </c>
      <c r="E1302" s="2" t="s">
        <v>224</v>
      </c>
      <c r="F1302" s="2" t="s">
        <v>13</v>
      </c>
      <c r="G1302" s="2" t="s">
        <v>14</v>
      </c>
      <c r="H1302" s="4" t="str">
        <f>HYPERLINK("https://kandianshare.html5.qq.com/v2/news/3498453321637947714","https://kandianshare.html5.qq.com/v2/news/3498453321637947714")</f>
        <v>https://kandianshare.html5.qq.com/v2/news/3498453321637947714</v>
      </c>
      <c r="I1302" s="3" t="s">
        <v>1915</v>
      </c>
      <c r="J1302" t="s">
        <v>16</v>
      </c>
    </row>
    <row r="1303" ht="23" customHeight="1" spans="1:10">
      <c r="A1303" s="2">
        <v>1302</v>
      </c>
      <c r="B1303" s="3" t="s">
        <v>1908</v>
      </c>
      <c r="C1303" s="2" t="s">
        <v>1916</v>
      </c>
      <c r="D1303" s="2" t="s">
        <v>1917</v>
      </c>
      <c r="E1303" s="2" t="s">
        <v>1917</v>
      </c>
      <c r="F1303" s="2" t="s">
        <v>13</v>
      </c>
      <c r="G1303" s="2" t="s">
        <v>26</v>
      </c>
      <c r="H1303" s="4" t="str">
        <f>HYPERLINK("http://www.globecp.cn/caishang/46049.html","http://www.globecp.cn/caishang/46049.html")</f>
        <v>http://www.globecp.cn/caishang/46049.html</v>
      </c>
      <c r="I1303" s="3" t="s">
        <v>1918</v>
      </c>
      <c r="J1303" t="s">
        <v>16</v>
      </c>
    </row>
    <row r="1304" ht="23" customHeight="1" spans="1:10">
      <c r="A1304" s="2">
        <v>1303</v>
      </c>
      <c r="B1304" s="3" t="s">
        <v>1908</v>
      </c>
      <c r="C1304" s="2" t="s">
        <v>1919</v>
      </c>
      <c r="D1304" s="2" t="s">
        <v>286</v>
      </c>
      <c r="E1304" s="2" t="s">
        <v>224</v>
      </c>
      <c r="F1304" s="2" t="s">
        <v>13</v>
      </c>
      <c r="G1304" s="2" t="s">
        <v>14</v>
      </c>
      <c r="H1304" s="4" t="str">
        <f>HYPERLINK("https://www.360kuai.com/pc/detail?url=http%3A%2F%2Fzm.news.so.com%2Fb5b68299ee7427e175ea0e44043296b1&amp;check=a3aea1d9f97abb03","https://www.360kuai.com/pc/detail?url=http%3A%2F%2Fzm.news.so.com%2Fb5b68299ee7427e175ea0e44043296b1&amp;check=a3aea1d9f97abb03")</f>
        <v>https://www.360kuai.com/pc/detail?url=http%3A%2F%2Fzm.news.so.com%2Fb5b68299ee7427e175ea0e44043296b1&amp;check=a3aea1d9f97abb03</v>
      </c>
      <c r="I1304" s="3" t="s">
        <v>1915</v>
      </c>
      <c r="J1304" t="s">
        <v>16</v>
      </c>
    </row>
    <row r="1305" ht="23" customHeight="1" spans="1:10">
      <c r="A1305" s="2">
        <v>1304</v>
      </c>
      <c r="B1305" s="3" t="s">
        <v>1908</v>
      </c>
      <c r="C1305" s="2" t="s">
        <v>1920</v>
      </c>
      <c r="D1305" s="2" t="s">
        <v>1921</v>
      </c>
      <c r="E1305" s="2" t="s">
        <v>1921</v>
      </c>
      <c r="F1305" s="2" t="s">
        <v>13</v>
      </c>
      <c r="G1305" s="2" t="s">
        <v>14</v>
      </c>
      <c r="H1305" s="4" t="str">
        <f>HYPERLINK("http://www.zguocity.com/pages/114836.html","http://www.zguocity.com/pages/114836.html")</f>
        <v>http://www.zguocity.com/pages/114836.html</v>
      </c>
      <c r="I1305" s="3" t="s">
        <v>1922</v>
      </c>
      <c r="J1305" t="s">
        <v>16</v>
      </c>
    </row>
    <row r="1306" ht="23" customHeight="1" spans="1:10">
      <c r="A1306" s="2">
        <v>1305</v>
      </c>
      <c r="B1306" s="3" t="s">
        <v>1908</v>
      </c>
      <c r="C1306" s="2" t="s">
        <v>1920</v>
      </c>
      <c r="D1306" s="2" t="s">
        <v>1923</v>
      </c>
      <c r="E1306" s="2" t="s">
        <v>1923</v>
      </c>
      <c r="F1306" s="2" t="s">
        <v>13</v>
      </c>
      <c r="G1306" s="2" t="s">
        <v>26</v>
      </c>
      <c r="H1306" s="4" t="str">
        <f>HYPERLINK("http://www.szdaobao.com/articleid/107801.html","http://www.szdaobao.com/articleid/107801.html")</f>
        <v>http://www.szdaobao.com/articleid/107801.html</v>
      </c>
      <c r="I1306" s="3" t="s">
        <v>1924</v>
      </c>
      <c r="J1306" t="s">
        <v>16</v>
      </c>
    </row>
    <row r="1307" ht="23" customHeight="1" spans="1:10">
      <c r="A1307" s="2">
        <v>1306</v>
      </c>
      <c r="B1307" s="3" t="s">
        <v>1908</v>
      </c>
      <c r="C1307" s="2" t="s">
        <v>1920</v>
      </c>
      <c r="D1307" s="2" t="s">
        <v>1925</v>
      </c>
      <c r="E1307" s="2" t="s">
        <v>1925</v>
      </c>
      <c r="F1307" s="2" t="s">
        <v>13</v>
      </c>
      <c r="G1307" s="2" t="s">
        <v>26</v>
      </c>
      <c r="H1307" s="4" t="str">
        <f>HYPERLINK("http://www.gjchinese.com/articleid/333361.html","http://www.gjchinese.com/articleid/333361.html")</f>
        <v>http://www.gjchinese.com/articleid/333361.html</v>
      </c>
      <c r="I1307" s="3" t="s">
        <v>1922</v>
      </c>
      <c r="J1307" t="s">
        <v>16</v>
      </c>
    </row>
    <row r="1308" ht="23" customHeight="1" spans="1:10">
      <c r="A1308" s="2">
        <v>1307</v>
      </c>
      <c r="B1308" s="3" t="s">
        <v>1908</v>
      </c>
      <c r="C1308" s="2" t="s">
        <v>1920</v>
      </c>
      <c r="D1308" s="2" t="s">
        <v>1926</v>
      </c>
      <c r="E1308" s="2" t="s">
        <v>1926</v>
      </c>
      <c r="F1308" s="2" t="s">
        <v>13</v>
      </c>
      <c r="G1308" s="2" t="s">
        <v>26</v>
      </c>
      <c r="H1308" s="4" t="str">
        <f>HYPERLINK("http://www.zxinzxw.com/articleid/400200.html","http://www.zxinzxw.com/articleid/400200.html")</f>
        <v>http://www.zxinzxw.com/articleid/400200.html</v>
      </c>
      <c r="I1308" s="3" t="s">
        <v>1922</v>
      </c>
      <c r="J1308" t="s">
        <v>16</v>
      </c>
    </row>
    <row r="1309" ht="23" customHeight="1" spans="1:10">
      <c r="A1309" s="2">
        <v>1308</v>
      </c>
      <c r="B1309" s="3" t="s">
        <v>1908</v>
      </c>
      <c r="C1309" s="2" t="s">
        <v>1920</v>
      </c>
      <c r="D1309" s="2" t="s">
        <v>1927</v>
      </c>
      <c r="E1309" s="2" t="s">
        <v>1927</v>
      </c>
      <c r="F1309" s="2" t="s">
        <v>13</v>
      </c>
      <c r="G1309" s="2" t="s">
        <v>26</v>
      </c>
      <c r="H1309" s="4" t="str">
        <f>HYPERLINK("http://www.gdshittv.com/107801.html","http://www.gdshittv.com/107801.html")</f>
        <v>http://www.gdshittv.com/107801.html</v>
      </c>
      <c r="I1309" s="3" t="s">
        <v>1922</v>
      </c>
      <c r="J1309" t="s">
        <v>16</v>
      </c>
    </row>
    <row r="1310" ht="23" customHeight="1" spans="1:10">
      <c r="A1310" s="2">
        <v>1309</v>
      </c>
      <c r="B1310" s="3" t="s">
        <v>1908</v>
      </c>
      <c r="C1310" s="2" t="s">
        <v>1920</v>
      </c>
      <c r="D1310" s="2" t="s">
        <v>1928</v>
      </c>
      <c r="E1310" s="2" t="s">
        <v>1928</v>
      </c>
      <c r="F1310" s="2" t="s">
        <v>13</v>
      </c>
      <c r="G1310" s="2" t="s">
        <v>26</v>
      </c>
      <c r="H1310" s="4" t="str">
        <f>HYPERLINK("http://www.guojinew.cn/114836.html","http://www.guojinew.cn/114836.html")</f>
        <v>http://www.guojinew.cn/114836.html</v>
      </c>
      <c r="I1310" s="3" t="s">
        <v>1922</v>
      </c>
      <c r="J1310" t="s">
        <v>16</v>
      </c>
    </row>
    <row r="1311" ht="23" customHeight="1" spans="1:10">
      <c r="A1311" s="2">
        <v>1310</v>
      </c>
      <c r="B1311" s="3" t="s">
        <v>1908</v>
      </c>
      <c r="C1311" s="2" t="s">
        <v>1920</v>
      </c>
      <c r="D1311" s="2" t="s">
        <v>1929</v>
      </c>
      <c r="E1311" s="2" t="s">
        <v>1929</v>
      </c>
      <c r="F1311" s="2" t="s">
        <v>13</v>
      </c>
      <c r="G1311" s="2" t="s">
        <v>26</v>
      </c>
      <c r="H1311" s="4" t="str">
        <f>HYPERLINK("http://www.diyikejiw.com/articleid/400200.html","http://www.diyikejiw.com/articleid/400200.html")</f>
        <v>http://www.diyikejiw.com/articleid/400200.html</v>
      </c>
      <c r="I1311" s="3" t="s">
        <v>1922</v>
      </c>
      <c r="J1311" t="s">
        <v>16</v>
      </c>
    </row>
    <row r="1312" ht="23" customHeight="1" spans="1:10">
      <c r="A1312" s="2">
        <v>1311</v>
      </c>
      <c r="B1312" s="3" t="s">
        <v>1908</v>
      </c>
      <c r="C1312" s="2" t="s">
        <v>1920</v>
      </c>
      <c r="D1312" s="2" t="s">
        <v>1930</v>
      </c>
      <c r="E1312" s="2" t="s">
        <v>1930</v>
      </c>
      <c r="F1312" s="2" t="s">
        <v>13</v>
      </c>
      <c r="G1312" s="2" t="s">
        <v>26</v>
      </c>
      <c r="H1312" s="4" t="str">
        <f>HYPERLINK("http://www.zguolife.com/news/114836.html","http://www.zguolife.com/news/114836.html")</f>
        <v>http://www.zguolife.com/news/114836.html</v>
      </c>
      <c r="I1312" s="3" t="s">
        <v>1922</v>
      </c>
      <c r="J1312" t="s">
        <v>16</v>
      </c>
    </row>
    <row r="1313" ht="23" customHeight="1" spans="1:10">
      <c r="A1313" s="2">
        <v>1312</v>
      </c>
      <c r="B1313" s="3" t="s">
        <v>1908</v>
      </c>
      <c r="C1313" s="2" t="s">
        <v>1920</v>
      </c>
      <c r="D1313" s="2" t="s">
        <v>1931</v>
      </c>
      <c r="E1313" s="2" t="s">
        <v>1931</v>
      </c>
      <c r="F1313" s="2" t="s">
        <v>13</v>
      </c>
      <c r="G1313" s="2" t="s">
        <v>26</v>
      </c>
      <c r="H1313" s="4" t="str">
        <f>HYPERLINK("http://www.chinacarnet.cn/articleid/114836.html","http://www.chinacarnet.cn/articleid/114836.html")</f>
        <v>http://www.chinacarnet.cn/articleid/114836.html</v>
      </c>
      <c r="I1313" s="3" t="s">
        <v>1922</v>
      </c>
      <c r="J1313" t="s">
        <v>16</v>
      </c>
    </row>
    <row r="1314" ht="23" customHeight="1" spans="1:10">
      <c r="A1314" s="2">
        <v>1313</v>
      </c>
      <c r="B1314" s="3" t="s">
        <v>1908</v>
      </c>
      <c r="C1314" s="2" t="s">
        <v>1920</v>
      </c>
      <c r="D1314" s="2" t="s">
        <v>1932</v>
      </c>
      <c r="E1314" s="2" t="s">
        <v>1932</v>
      </c>
      <c r="F1314" s="2" t="s">
        <v>13</v>
      </c>
      <c r="G1314" s="2" t="s">
        <v>26</v>
      </c>
      <c r="H1314" s="4" t="str">
        <f>HYPERLINK("http://www.mrxinwen.com/articleid/400200.html","http://www.mrxinwen.com/articleid/400200.html")</f>
        <v>http://www.mrxinwen.com/articleid/400200.html</v>
      </c>
      <c r="I1314" s="3" t="s">
        <v>1922</v>
      </c>
      <c r="J1314" t="s">
        <v>16</v>
      </c>
    </row>
    <row r="1315" ht="23" customHeight="1" spans="1:10">
      <c r="A1315" s="2">
        <v>1314</v>
      </c>
      <c r="B1315" s="3" t="s">
        <v>1908</v>
      </c>
      <c r="C1315" s="2" t="s">
        <v>1920</v>
      </c>
      <c r="D1315" s="2" t="s">
        <v>1933</v>
      </c>
      <c r="E1315" s="2" t="s">
        <v>1933</v>
      </c>
      <c r="F1315" s="2" t="s">
        <v>13</v>
      </c>
      <c r="G1315" s="2" t="s">
        <v>26</v>
      </c>
      <c r="H1315" s="4" t="str">
        <f>HYPERLINK("http://www.firstjingji.com/articleid/124595.html","http://www.firstjingji.com/articleid/124595.html")</f>
        <v>http://www.firstjingji.com/articleid/124595.html</v>
      </c>
      <c r="I1315" s="3" t="s">
        <v>1922</v>
      </c>
      <c r="J1315" t="s">
        <v>16</v>
      </c>
    </row>
    <row r="1316" ht="23" customHeight="1" spans="1:10">
      <c r="A1316" s="2">
        <v>1315</v>
      </c>
      <c r="B1316" s="3" t="s">
        <v>1908</v>
      </c>
      <c r="C1316" s="2" t="s">
        <v>1920</v>
      </c>
      <c r="D1316" s="2" t="s">
        <v>1934</v>
      </c>
      <c r="E1316" s="2" t="s">
        <v>1934</v>
      </c>
      <c r="F1316" s="2" t="s">
        <v>13</v>
      </c>
      <c r="G1316" s="2" t="s">
        <v>26</v>
      </c>
      <c r="H1316" s="4" t="str">
        <f>HYPERLINK("http://www.huasouth.com/list/114836.html","http://www.huasouth.com/list/114836.html")</f>
        <v>http://www.huasouth.com/list/114836.html</v>
      </c>
      <c r="I1316" s="3" t="s">
        <v>1922</v>
      </c>
      <c r="J1316" t="s">
        <v>16</v>
      </c>
    </row>
    <row r="1317" ht="23" customHeight="1" spans="1:10">
      <c r="A1317" s="2">
        <v>1316</v>
      </c>
      <c r="B1317" s="3" t="s">
        <v>1908</v>
      </c>
      <c r="C1317" s="2" t="s">
        <v>1920</v>
      </c>
      <c r="D1317" s="2" t="s">
        <v>1935</v>
      </c>
      <c r="E1317" s="2" t="s">
        <v>1935</v>
      </c>
      <c r="F1317" s="2" t="s">
        <v>13</v>
      </c>
      <c r="G1317" s="2" t="s">
        <v>26</v>
      </c>
      <c r="H1317" s="4" t="str">
        <f>HYPERLINK("http://www.qyankji.com/articleid/400200.html","http://www.qyankji.com/articleid/400200.html")</f>
        <v>http://www.qyankji.com/articleid/400200.html</v>
      </c>
      <c r="I1317" s="3" t="s">
        <v>1922</v>
      </c>
      <c r="J1317" t="s">
        <v>16</v>
      </c>
    </row>
    <row r="1318" ht="23" customHeight="1" spans="1:10">
      <c r="A1318" s="2">
        <v>1317</v>
      </c>
      <c r="B1318" s="3" t="s">
        <v>1908</v>
      </c>
      <c r="C1318" s="2" t="s">
        <v>1920</v>
      </c>
      <c r="D1318" s="2" t="s">
        <v>1936</v>
      </c>
      <c r="E1318" s="2" t="s">
        <v>1936</v>
      </c>
      <c r="F1318" s="2" t="s">
        <v>13</v>
      </c>
      <c r="G1318" s="2" t="s">
        <v>26</v>
      </c>
      <c r="H1318" s="4" t="str">
        <f>HYPERLINK("http://www.worldwidenews.cn/hq/list/116556.html","http://www.worldwidenews.cn/hq/list/116556.html")</f>
        <v>http://www.worldwidenews.cn/hq/list/116556.html</v>
      </c>
      <c r="I1318" s="3" t="s">
        <v>1922</v>
      </c>
      <c r="J1318" t="s">
        <v>16</v>
      </c>
    </row>
    <row r="1319" ht="23" customHeight="1" spans="1:10">
      <c r="A1319" s="2">
        <v>1318</v>
      </c>
      <c r="B1319" s="3" t="s">
        <v>1908</v>
      </c>
      <c r="C1319" s="2" t="s">
        <v>1920</v>
      </c>
      <c r="D1319" s="2" t="s">
        <v>1937</v>
      </c>
      <c r="E1319" s="2" t="s">
        <v>1937</v>
      </c>
      <c r="F1319" s="2" t="s">
        <v>13</v>
      </c>
      <c r="G1319" s="2" t="s">
        <v>26</v>
      </c>
      <c r="H1319" s="4" t="str">
        <f>HYPERLINK("http://www.zgkjgc.cn/articleid/400200.html","http://www.zgkjgc.cn/articleid/400200.html")</f>
        <v>http://www.zgkjgc.cn/articleid/400200.html</v>
      </c>
      <c r="I1319" s="3" t="s">
        <v>1922</v>
      </c>
      <c r="J1319" t="s">
        <v>16</v>
      </c>
    </row>
    <row r="1320" ht="23" customHeight="1" spans="1:10">
      <c r="A1320" s="2">
        <v>1319</v>
      </c>
      <c r="B1320" s="3" t="s">
        <v>1908</v>
      </c>
      <c r="C1320" s="2" t="s">
        <v>1920</v>
      </c>
      <c r="D1320" s="2" t="s">
        <v>1938</v>
      </c>
      <c r="E1320" s="2" t="s">
        <v>1938</v>
      </c>
      <c r="F1320" s="2" t="s">
        <v>13</v>
      </c>
      <c r="G1320" s="2" t="s">
        <v>26</v>
      </c>
      <c r="H1320" s="4" t="str">
        <f>HYPERLINK("http://www.zhuanew.com/articleid/333361.html","http://www.zhuanew.com/articleid/333361.html")</f>
        <v>http://www.zhuanew.com/articleid/333361.html</v>
      </c>
      <c r="I1320" s="3" t="s">
        <v>1922</v>
      </c>
      <c r="J1320" t="s">
        <v>16</v>
      </c>
    </row>
    <row r="1321" ht="23" customHeight="1" spans="1:10">
      <c r="A1321" s="2">
        <v>1320</v>
      </c>
      <c r="B1321" s="3" t="s">
        <v>1908</v>
      </c>
      <c r="C1321" s="2" t="s">
        <v>1920</v>
      </c>
      <c r="D1321" s="2" t="s">
        <v>1939</v>
      </c>
      <c r="E1321" s="2" t="s">
        <v>1939</v>
      </c>
      <c r="F1321" s="2" t="s">
        <v>13</v>
      </c>
      <c r="G1321" s="2" t="s">
        <v>26</v>
      </c>
      <c r="H1321" s="4" t="str">
        <f>HYPERLINK("http://www.zguoggu.com/articleid/333361.html","http://www.zguoggu.com/articleid/333361.html")</f>
        <v>http://www.zguoggu.com/articleid/333361.html</v>
      </c>
      <c r="I1321" s="3" t="s">
        <v>1922</v>
      </c>
      <c r="J1321" t="s">
        <v>16</v>
      </c>
    </row>
    <row r="1322" ht="23" customHeight="1" spans="1:10">
      <c r="A1322" s="2">
        <v>1321</v>
      </c>
      <c r="B1322" s="3" t="s">
        <v>1908</v>
      </c>
      <c r="C1322" s="2" t="s">
        <v>1920</v>
      </c>
      <c r="D1322" s="2" t="s">
        <v>1940</v>
      </c>
      <c r="E1322" s="2" t="s">
        <v>1940</v>
      </c>
      <c r="F1322" s="2" t="s">
        <v>13</v>
      </c>
      <c r="G1322" s="2" t="s">
        <v>26</v>
      </c>
      <c r="H1322" s="4" t="str">
        <f>HYPERLINK("http://www.qianzhankj.com/articleid/174985.html","http://www.qianzhankj.com/articleid/174985.html")</f>
        <v>http://www.qianzhankj.com/articleid/174985.html</v>
      </c>
      <c r="I1322" s="3" t="s">
        <v>1922</v>
      </c>
      <c r="J1322" t="s">
        <v>16</v>
      </c>
    </row>
    <row r="1323" ht="23" customHeight="1" spans="1:10">
      <c r="A1323" s="2">
        <v>1322</v>
      </c>
      <c r="B1323" s="3" t="s">
        <v>1908</v>
      </c>
      <c r="C1323" s="2" t="s">
        <v>1920</v>
      </c>
      <c r="D1323" s="2" t="s">
        <v>1941</v>
      </c>
      <c r="E1323" s="2" t="s">
        <v>1941</v>
      </c>
      <c r="F1323" s="2" t="s">
        <v>13</v>
      </c>
      <c r="G1323" s="2" t="s">
        <v>26</v>
      </c>
      <c r="H1323" s="4" t="str">
        <f>HYPERLINK("http://www.zguokbw.com/articleid/400200.html","http://www.zguokbw.com/articleid/400200.html")</f>
        <v>http://www.zguokbw.com/articleid/400200.html</v>
      </c>
      <c r="I1323" s="3" t="s">
        <v>1922</v>
      </c>
      <c r="J1323" t="s">
        <v>16</v>
      </c>
    </row>
    <row r="1324" ht="23" customHeight="1" spans="1:10">
      <c r="A1324" s="2">
        <v>1323</v>
      </c>
      <c r="B1324" s="3" t="s">
        <v>1908</v>
      </c>
      <c r="C1324" s="2" t="s">
        <v>1920</v>
      </c>
      <c r="D1324" s="2" t="s">
        <v>1942</v>
      </c>
      <c r="E1324" s="2" t="s">
        <v>1942</v>
      </c>
      <c r="F1324" s="2" t="s">
        <v>13</v>
      </c>
      <c r="G1324" s="2" t="s">
        <v>26</v>
      </c>
      <c r="H1324" s="4" t="str">
        <f>HYPERLINK("http://www.heimanews.com/articleid/174985.html","http://www.heimanews.com/articleid/174985.html")</f>
        <v>http://www.heimanews.com/articleid/174985.html</v>
      </c>
      <c r="I1324" s="3" t="s">
        <v>1922</v>
      </c>
      <c r="J1324" t="s">
        <v>16</v>
      </c>
    </row>
    <row r="1325" ht="23" customHeight="1" spans="1:10">
      <c r="A1325" s="2">
        <v>1324</v>
      </c>
      <c r="B1325" s="3" t="s">
        <v>1908</v>
      </c>
      <c r="C1325" s="2" t="s">
        <v>1920</v>
      </c>
      <c r="D1325" s="2" t="s">
        <v>1943</v>
      </c>
      <c r="E1325" s="2" t="s">
        <v>1943</v>
      </c>
      <c r="F1325" s="2" t="s">
        <v>13</v>
      </c>
      <c r="G1325" s="2" t="s">
        <v>26</v>
      </c>
      <c r="H1325" s="4" t="str">
        <f>HYPERLINK("http://www.kejijiaodian.com/articleid/196750.html","http://www.kejijiaodian.com/articleid/196750.html")</f>
        <v>http://www.kejijiaodian.com/articleid/196750.html</v>
      </c>
      <c r="I1325" s="3" t="s">
        <v>1924</v>
      </c>
      <c r="J1325" t="s">
        <v>16</v>
      </c>
    </row>
    <row r="1326" ht="23" customHeight="1" spans="1:10">
      <c r="A1326" s="2">
        <v>1325</v>
      </c>
      <c r="B1326" s="3" t="s">
        <v>1908</v>
      </c>
      <c r="C1326" s="2" t="s">
        <v>1920</v>
      </c>
      <c r="D1326" s="2" t="s">
        <v>1944</v>
      </c>
      <c r="E1326" s="2" t="s">
        <v>1944</v>
      </c>
      <c r="F1326" s="2" t="s">
        <v>13</v>
      </c>
      <c r="G1326" s="2" t="s">
        <v>26</v>
      </c>
      <c r="H1326" s="4" t="str">
        <f>HYPERLINK("http://www.shzixunw.com/107801.html","http://www.shzixunw.com/107801.html")</f>
        <v>http://www.shzixunw.com/107801.html</v>
      </c>
      <c r="I1326" s="3" t="s">
        <v>1922</v>
      </c>
      <c r="J1326" t="s">
        <v>16</v>
      </c>
    </row>
    <row r="1327" ht="23" customHeight="1" spans="1:10">
      <c r="A1327" s="2">
        <v>1326</v>
      </c>
      <c r="B1327" s="3" t="s">
        <v>1908</v>
      </c>
      <c r="C1327" s="2" t="s">
        <v>1920</v>
      </c>
      <c r="D1327" s="2" t="s">
        <v>1945</v>
      </c>
      <c r="E1327" s="2" t="s">
        <v>1945</v>
      </c>
      <c r="F1327" s="2" t="s">
        <v>13</v>
      </c>
      <c r="G1327" s="2" t="s">
        <v>26</v>
      </c>
      <c r="H1327" s="4" t="str">
        <f>HYPERLINK("http://www.autoribao.com/articleid/114836.html","http://www.autoribao.com/articleid/114836.html")</f>
        <v>http://www.autoribao.com/articleid/114836.html</v>
      </c>
      <c r="I1327" s="3" t="s">
        <v>1922</v>
      </c>
      <c r="J1327" t="s">
        <v>16</v>
      </c>
    </row>
    <row r="1328" ht="23" customHeight="1" spans="1:10">
      <c r="A1328" s="2">
        <v>1327</v>
      </c>
      <c r="B1328" s="3" t="s">
        <v>1908</v>
      </c>
      <c r="C1328" s="2" t="s">
        <v>1920</v>
      </c>
      <c r="D1328" s="2" t="s">
        <v>1946</v>
      </c>
      <c r="E1328" s="2" t="s">
        <v>1946</v>
      </c>
      <c r="F1328" s="2" t="s">
        <v>13</v>
      </c>
      <c r="G1328" s="2" t="s">
        <v>26</v>
      </c>
      <c r="H1328" s="4" t="str">
        <f>HYPERLINK("http://www.zqingnew.com/articleid/400200.html","http://www.zqingnew.com/articleid/400200.html")</f>
        <v>http://www.zqingnew.com/articleid/400200.html</v>
      </c>
      <c r="I1328" s="3" t="s">
        <v>1922</v>
      </c>
      <c r="J1328" t="s">
        <v>16</v>
      </c>
    </row>
    <row r="1329" ht="23" customHeight="1" spans="1:10">
      <c r="A1329" s="2">
        <v>1328</v>
      </c>
      <c r="B1329" s="3" t="s">
        <v>1908</v>
      </c>
      <c r="C1329" s="2" t="s">
        <v>1920</v>
      </c>
      <c r="D1329" s="2" t="s">
        <v>1947</v>
      </c>
      <c r="E1329" s="2" t="s">
        <v>1947</v>
      </c>
      <c r="F1329" s="2" t="s">
        <v>13</v>
      </c>
      <c r="G1329" s="2" t="s">
        <v>26</v>
      </c>
      <c r="H1329" s="4" t="str">
        <f>HYPERLINK("http://www.zgjdnet.com/articleid/333361.html","http://www.zgjdnet.com/articleid/333361.html")</f>
        <v>http://www.zgjdnet.com/articleid/333361.html</v>
      </c>
      <c r="I1329" s="3" t="s">
        <v>1922</v>
      </c>
      <c r="J1329" t="s">
        <v>16</v>
      </c>
    </row>
    <row r="1330" ht="23" customHeight="1" spans="1:10">
      <c r="A1330" s="2">
        <v>1329</v>
      </c>
      <c r="B1330" s="3" t="s">
        <v>1908</v>
      </c>
      <c r="C1330" s="2" t="s">
        <v>1920</v>
      </c>
      <c r="D1330" s="2" t="s">
        <v>1948</v>
      </c>
      <c r="E1330" s="2" t="s">
        <v>1948</v>
      </c>
      <c r="F1330" s="2" t="s">
        <v>13</v>
      </c>
      <c r="G1330" s="2" t="s">
        <v>26</v>
      </c>
      <c r="H1330" s="4" t="str">
        <f>HYPERLINK("http://www.peopleopinion.cn/articleid/116556.html","http://www.peopleopinion.cn/articleid/116556.html")</f>
        <v>http://www.peopleopinion.cn/articleid/116556.html</v>
      </c>
      <c r="I1330" s="3" t="s">
        <v>1922</v>
      </c>
      <c r="J1330" t="s">
        <v>16</v>
      </c>
    </row>
    <row r="1331" ht="23" customHeight="1" spans="1:10">
      <c r="A1331" s="2">
        <v>1330</v>
      </c>
      <c r="B1331" s="3" t="s">
        <v>1908</v>
      </c>
      <c r="C1331" s="2" t="s">
        <v>1920</v>
      </c>
      <c r="D1331" s="2" t="s">
        <v>334</v>
      </c>
      <c r="E1331" s="2" t="s">
        <v>334</v>
      </c>
      <c r="F1331" s="2" t="s">
        <v>13</v>
      </c>
      <c r="G1331" s="2" t="s">
        <v>26</v>
      </c>
      <c r="H1331" s="4" t="str">
        <f>HYPERLINK("http://www.eastxinwen.com/pages/116556.html","http://www.eastxinwen.com/pages/116556.html")</f>
        <v>http://www.eastxinwen.com/pages/116556.html</v>
      </c>
      <c r="I1331" s="3" t="s">
        <v>1922</v>
      </c>
      <c r="J1331" t="s">
        <v>16</v>
      </c>
    </row>
    <row r="1332" ht="23" customHeight="1" spans="1:10">
      <c r="A1332" s="2">
        <v>1331</v>
      </c>
      <c r="B1332" s="3" t="s">
        <v>1908</v>
      </c>
      <c r="C1332" s="2" t="s">
        <v>1920</v>
      </c>
      <c r="D1332" s="2" t="s">
        <v>1949</v>
      </c>
      <c r="E1332" s="2" t="s">
        <v>1949</v>
      </c>
      <c r="F1332" s="2" t="s">
        <v>13</v>
      </c>
      <c r="G1332" s="2" t="s">
        <v>26</v>
      </c>
      <c r="H1332" s="4" t="str">
        <f>HYPERLINK("http://www.economyzk.com/articleid/124595.html","http://www.economyzk.com/articleid/124595.html")</f>
        <v>http://www.economyzk.com/articleid/124595.html</v>
      </c>
      <c r="I1332" s="3" t="s">
        <v>1922</v>
      </c>
      <c r="J1332" t="s">
        <v>16</v>
      </c>
    </row>
    <row r="1333" ht="23" customHeight="1" spans="1:10">
      <c r="A1333" s="2">
        <v>1332</v>
      </c>
      <c r="B1333" s="3" t="s">
        <v>1908</v>
      </c>
      <c r="C1333" s="2" t="s">
        <v>1920</v>
      </c>
      <c r="D1333" s="2" t="s">
        <v>1950</v>
      </c>
      <c r="E1333" s="2" t="s">
        <v>1950</v>
      </c>
      <c r="F1333" s="2" t="s">
        <v>13</v>
      </c>
      <c r="G1333" s="2" t="s">
        <v>26</v>
      </c>
      <c r="H1333" s="4" t="str">
        <f>HYPERLINK("http://www.chinazhnews.cn/1745225640/116556.html","http://www.chinazhnews.cn/1745225640/116556.html")</f>
        <v>http://www.chinazhnews.cn/1745225640/116556.html</v>
      </c>
      <c r="I1333" s="3" t="s">
        <v>1922</v>
      </c>
      <c r="J1333" t="s">
        <v>16</v>
      </c>
    </row>
    <row r="1334" ht="23" customHeight="1" spans="1:10">
      <c r="A1334" s="2">
        <v>1333</v>
      </c>
      <c r="B1334" s="3" t="s">
        <v>1908</v>
      </c>
      <c r="C1334" s="2" t="s">
        <v>1920</v>
      </c>
      <c r="D1334" s="2" t="s">
        <v>1951</v>
      </c>
      <c r="E1334" s="2" t="s">
        <v>1951</v>
      </c>
      <c r="F1334" s="2" t="s">
        <v>13</v>
      </c>
      <c r="G1334" s="2" t="s">
        <v>26</v>
      </c>
      <c r="H1334" s="4" t="str">
        <f>HYPERLINK("http://www.kejizk.com/articleid/228318.html","http://www.kejizk.com/articleid/228318.html")</f>
        <v>http://www.kejizk.com/articleid/228318.html</v>
      </c>
      <c r="I1334" s="3" t="s">
        <v>1922</v>
      </c>
      <c r="J1334" t="s">
        <v>16</v>
      </c>
    </row>
    <row r="1335" ht="23" customHeight="1" spans="1:10">
      <c r="A1335" s="2">
        <v>1334</v>
      </c>
      <c r="B1335" s="3" t="s">
        <v>1908</v>
      </c>
      <c r="C1335" s="2" t="s">
        <v>1920</v>
      </c>
      <c r="D1335" s="2" t="s">
        <v>1952</v>
      </c>
      <c r="E1335" s="2" t="s">
        <v>1952</v>
      </c>
      <c r="F1335" s="2" t="s">
        <v>13</v>
      </c>
      <c r="G1335" s="2" t="s">
        <v>26</v>
      </c>
      <c r="H1335" s="4" t="str">
        <f>HYPERLINK("http://www.lianbonews.cn/articleid/116556.html","http://www.lianbonews.cn/articleid/116556.html")</f>
        <v>http://www.lianbonews.cn/articleid/116556.html</v>
      </c>
      <c r="I1335" s="3" t="s">
        <v>1922</v>
      </c>
      <c r="J1335" t="s">
        <v>16</v>
      </c>
    </row>
    <row r="1336" ht="23" customHeight="1" spans="1:10">
      <c r="A1336" s="2">
        <v>1335</v>
      </c>
      <c r="B1336" s="3" t="s">
        <v>1908</v>
      </c>
      <c r="C1336" s="2" t="s">
        <v>1920</v>
      </c>
      <c r="D1336" s="2" t="s">
        <v>1953</v>
      </c>
      <c r="E1336" s="2" t="s">
        <v>1953</v>
      </c>
      <c r="F1336" s="2" t="s">
        <v>13</v>
      </c>
      <c r="G1336" s="2" t="s">
        <v>26</v>
      </c>
      <c r="H1336" s="4" t="str">
        <f>HYPERLINK("http://www.jiketeach.com/articleid/174985.html","http://www.jiketeach.com/articleid/174985.html")</f>
        <v>http://www.jiketeach.com/articleid/174985.html</v>
      </c>
      <c r="I1336" s="3" t="s">
        <v>1924</v>
      </c>
      <c r="J1336" t="s">
        <v>16</v>
      </c>
    </row>
    <row r="1337" ht="23" customHeight="1" spans="1:10">
      <c r="A1337" s="2">
        <v>1336</v>
      </c>
      <c r="B1337" s="3" t="s">
        <v>1908</v>
      </c>
      <c r="C1337" s="2" t="s">
        <v>1920</v>
      </c>
      <c r="D1337" s="2" t="s">
        <v>1954</v>
      </c>
      <c r="E1337" s="2" t="s">
        <v>1954</v>
      </c>
      <c r="F1337" s="2" t="s">
        <v>13</v>
      </c>
      <c r="G1337" s="2" t="s">
        <v>26</v>
      </c>
      <c r="H1337" s="4" t="str">
        <f>HYPERLINK("http://www.dzautonet.com/articleid/114836.html","http://www.dzautonet.com/articleid/114836.html")</f>
        <v>http://www.dzautonet.com/articleid/114836.html</v>
      </c>
      <c r="I1337" s="3" t="s">
        <v>1922</v>
      </c>
      <c r="J1337" t="s">
        <v>16</v>
      </c>
    </row>
    <row r="1338" ht="23" customHeight="1" spans="1:10">
      <c r="A1338" s="2">
        <v>1337</v>
      </c>
      <c r="B1338" s="3" t="s">
        <v>1908</v>
      </c>
      <c r="C1338" s="2" t="s">
        <v>1920</v>
      </c>
      <c r="D1338" s="2" t="s">
        <v>1955</v>
      </c>
      <c r="E1338" s="2" t="s">
        <v>1955</v>
      </c>
      <c r="F1338" s="2" t="s">
        <v>13</v>
      </c>
      <c r="G1338" s="2" t="s">
        <v>26</v>
      </c>
      <c r="H1338" s="4" t="str">
        <f>HYPERLINK("http://www.techbw.cn/articleid/333361.html","http://www.techbw.cn/articleid/333361.html")</f>
        <v>http://www.techbw.cn/articleid/333361.html</v>
      </c>
      <c r="I1338" s="3" t="s">
        <v>1922</v>
      </c>
      <c r="J1338" t="s">
        <v>16</v>
      </c>
    </row>
    <row r="1339" ht="23" customHeight="1" spans="1:10">
      <c r="A1339" s="2">
        <v>1338</v>
      </c>
      <c r="B1339" s="3" t="s">
        <v>1908</v>
      </c>
      <c r="C1339" s="2" t="s">
        <v>1920</v>
      </c>
      <c r="D1339" s="2" t="s">
        <v>1956</v>
      </c>
      <c r="E1339" s="2" t="s">
        <v>1956</v>
      </c>
      <c r="F1339" s="2" t="s">
        <v>13</v>
      </c>
      <c r="G1339" s="2" t="s">
        <v>26</v>
      </c>
      <c r="H1339" s="4" t="str">
        <f>HYPERLINK("http://www.dazhongdb.cn/1745225640/116556.html","http://www.dazhongdb.cn/1745225640/116556.html")</f>
        <v>http://www.dazhongdb.cn/1745225640/116556.html</v>
      </c>
      <c r="I1339" s="3" t="s">
        <v>1922</v>
      </c>
      <c r="J1339" t="s">
        <v>16</v>
      </c>
    </row>
    <row r="1340" ht="23" customHeight="1" spans="1:10">
      <c r="A1340" s="2">
        <v>1339</v>
      </c>
      <c r="B1340" s="3" t="s">
        <v>1908</v>
      </c>
      <c r="C1340" s="2" t="s">
        <v>1920</v>
      </c>
      <c r="D1340" s="2" t="s">
        <v>1957</v>
      </c>
      <c r="E1340" s="2" t="s">
        <v>1957</v>
      </c>
      <c r="F1340" s="2" t="s">
        <v>13</v>
      </c>
      <c r="G1340" s="2" t="s">
        <v>26</v>
      </c>
      <c r="H1340" s="4" t="str">
        <f>HYPERLINK("http://www.diyizixunwang.com/articleid/400200.html","http://www.diyizixunwang.com/articleid/400200.html")</f>
        <v>http://www.diyizixunwang.com/articleid/400200.html</v>
      </c>
      <c r="I1340" s="3" t="s">
        <v>1922</v>
      </c>
      <c r="J1340" t="s">
        <v>16</v>
      </c>
    </row>
    <row r="1341" ht="23" customHeight="1" spans="1:10">
      <c r="A1341" s="2">
        <v>1340</v>
      </c>
      <c r="B1341" s="3" t="s">
        <v>1908</v>
      </c>
      <c r="C1341" s="2" t="s">
        <v>1920</v>
      </c>
      <c r="D1341" s="2" t="s">
        <v>1958</v>
      </c>
      <c r="E1341" s="2" t="s">
        <v>1958</v>
      </c>
      <c r="F1341" s="2" t="s">
        <v>13</v>
      </c>
      <c r="G1341" s="2" t="s">
        <v>26</v>
      </c>
      <c r="H1341" s="4" t="str">
        <f>HYPERLINK("http://www.zguosxw.com/articleid/400200.html","http://www.zguosxw.com/articleid/400200.html")</f>
        <v>http://www.zguosxw.com/articleid/400200.html</v>
      </c>
      <c r="I1341" s="3" t="s">
        <v>1922</v>
      </c>
      <c r="J1341" t="s">
        <v>16</v>
      </c>
    </row>
    <row r="1342" ht="23" customHeight="1" spans="1:10">
      <c r="A1342" s="2">
        <v>1341</v>
      </c>
      <c r="B1342" s="3" t="s">
        <v>1908</v>
      </c>
      <c r="C1342" s="2" t="s">
        <v>1920</v>
      </c>
      <c r="D1342" s="2" t="s">
        <v>1959</v>
      </c>
      <c r="E1342" s="2" t="s">
        <v>1959</v>
      </c>
      <c r="F1342" s="2" t="s">
        <v>13</v>
      </c>
      <c r="G1342" s="2" t="s">
        <v>26</v>
      </c>
      <c r="H1342" s="4" t="str">
        <f>HYPERLINK("http://www.businesst.cn/articleid/174985.html","http://www.businesst.cn/articleid/174985.html")</f>
        <v>http://www.businesst.cn/articleid/174985.html</v>
      </c>
      <c r="I1342" s="3" t="s">
        <v>1922</v>
      </c>
      <c r="J1342" t="s">
        <v>16</v>
      </c>
    </row>
    <row r="1343" ht="23" customHeight="1" spans="1:10">
      <c r="A1343" s="2">
        <v>1342</v>
      </c>
      <c r="B1343" s="3" t="s">
        <v>1908</v>
      </c>
      <c r="C1343" s="2" t="s">
        <v>1960</v>
      </c>
      <c r="D1343" s="2" t="s">
        <v>1961</v>
      </c>
      <c r="E1343" s="2" t="s">
        <v>1961</v>
      </c>
      <c r="F1343" s="2" t="s">
        <v>13</v>
      </c>
      <c r="G1343" s="2" t="s">
        <v>26</v>
      </c>
      <c r="H1343" s="4" t="str">
        <f>HYPERLINK("http://www.hqjingji.cn/articleid/400200.html","http://www.hqjingji.cn/articleid/400200.html")</f>
        <v>http://www.hqjingji.cn/articleid/400200.html</v>
      </c>
      <c r="I1343" s="3" t="s">
        <v>1922</v>
      </c>
      <c r="J1343" t="s">
        <v>16</v>
      </c>
    </row>
    <row r="1344" ht="23" customHeight="1" spans="1:10">
      <c r="A1344" s="2">
        <v>1343</v>
      </c>
      <c r="B1344" s="3" t="s">
        <v>1908</v>
      </c>
      <c r="C1344" s="2" t="s">
        <v>1960</v>
      </c>
      <c r="D1344" s="2" t="s">
        <v>1962</v>
      </c>
      <c r="E1344" s="2" t="s">
        <v>1962</v>
      </c>
      <c r="F1344" s="2" t="s">
        <v>13</v>
      </c>
      <c r="G1344" s="2" t="s">
        <v>26</v>
      </c>
      <c r="H1344" s="4" t="str">
        <f>HYPERLINK("http://www.peoplebusiness.cn/articleid/196750.html","http://www.peoplebusiness.cn/articleid/196750.html")</f>
        <v>http://www.peoplebusiness.cn/articleid/196750.html</v>
      </c>
      <c r="I1344" s="3" t="s">
        <v>1922</v>
      </c>
      <c r="J1344" t="s">
        <v>16</v>
      </c>
    </row>
    <row r="1345" ht="23" customHeight="1" spans="1:10">
      <c r="A1345" s="2">
        <v>1344</v>
      </c>
      <c r="B1345" s="3" t="s">
        <v>1908</v>
      </c>
      <c r="C1345" s="2" t="s">
        <v>1960</v>
      </c>
      <c r="D1345" s="2" t="s">
        <v>1963</v>
      </c>
      <c r="E1345" s="2" t="s">
        <v>1963</v>
      </c>
      <c r="F1345" s="2" t="s">
        <v>13</v>
      </c>
      <c r="G1345" s="2" t="s">
        <v>26</v>
      </c>
      <c r="H1345" s="4" t="str">
        <f>HYPERLINK("http://www.zjlifebao.com/107801.html","http://www.zjlifebao.com/107801.html")</f>
        <v>http://www.zjlifebao.com/107801.html</v>
      </c>
      <c r="I1345" s="3" t="s">
        <v>1922</v>
      </c>
      <c r="J1345" t="s">
        <v>16</v>
      </c>
    </row>
    <row r="1346" ht="23" customHeight="1" spans="1:10">
      <c r="A1346" s="2">
        <v>1345</v>
      </c>
      <c r="B1346" s="3" t="s">
        <v>1908</v>
      </c>
      <c r="C1346" s="2" t="s">
        <v>1960</v>
      </c>
      <c r="D1346" s="2" t="s">
        <v>1964</v>
      </c>
      <c r="E1346" s="2" t="s">
        <v>1964</v>
      </c>
      <c r="F1346" s="2" t="s">
        <v>13</v>
      </c>
      <c r="G1346" s="2" t="s">
        <v>26</v>
      </c>
      <c r="H1346" s="4" t="str">
        <f>HYPERLINK("http://www.zgcunonline.com/articleid/333361.html","http://www.zgcunonline.com/articleid/333361.html")</f>
        <v>http://www.zgcunonline.com/articleid/333361.html</v>
      </c>
      <c r="I1346" s="3" t="s">
        <v>1922</v>
      </c>
      <c r="J1346" t="s">
        <v>16</v>
      </c>
    </row>
    <row r="1347" ht="23" customHeight="1" spans="1:10">
      <c r="A1347" s="2">
        <v>1346</v>
      </c>
      <c r="B1347" s="3" t="s">
        <v>1908</v>
      </c>
      <c r="C1347" s="2" t="s">
        <v>1965</v>
      </c>
      <c r="D1347" s="2" t="s">
        <v>29</v>
      </c>
      <c r="E1347" s="2" t="s">
        <v>1966</v>
      </c>
      <c r="F1347" s="2" t="s">
        <v>13</v>
      </c>
      <c r="G1347" s="2" t="s">
        <v>26</v>
      </c>
      <c r="H1347" s="4" t="str">
        <f>HYPERLINK("https://finance.sina.cn/2025-04-21/detail-inetxncu5058618.d.html","https://finance.sina.cn/2025-04-21/detail-inetxncu5058618.d.html")</f>
        <v>https://finance.sina.cn/2025-04-21/detail-inetxncu5058618.d.html</v>
      </c>
      <c r="I1347" s="3" t="s">
        <v>1922</v>
      </c>
      <c r="J1347" t="s">
        <v>16</v>
      </c>
    </row>
    <row r="1348" ht="23" customHeight="1" spans="1:10">
      <c r="A1348" s="2">
        <v>1347</v>
      </c>
      <c r="B1348" s="3" t="s">
        <v>1908</v>
      </c>
      <c r="C1348" s="2" t="s">
        <v>1967</v>
      </c>
      <c r="D1348" s="2" t="s">
        <v>68</v>
      </c>
      <c r="E1348" s="2" t="s">
        <v>68</v>
      </c>
      <c r="F1348" s="2" t="s">
        <v>13</v>
      </c>
      <c r="G1348" s="2" t="s">
        <v>26</v>
      </c>
      <c r="H1348" s="4" t="str">
        <f>HYPERLINK("https://hea.china.com/articles/20250421/202504211662979.html","https://hea.china.com/articles/20250421/202504211662979.html")</f>
        <v>https://hea.china.com/articles/20250421/202504211662979.html</v>
      </c>
      <c r="I1348" s="3" t="s">
        <v>1924</v>
      </c>
      <c r="J1348" t="s">
        <v>16</v>
      </c>
    </row>
    <row r="1349" ht="23" customHeight="1" spans="1:10">
      <c r="A1349" s="2">
        <v>1348</v>
      </c>
      <c r="B1349" s="3" t="s">
        <v>1908</v>
      </c>
      <c r="C1349" s="2" t="s">
        <v>1968</v>
      </c>
      <c r="D1349" s="2" t="s">
        <v>71</v>
      </c>
      <c r="E1349" s="2" t="s">
        <v>71</v>
      </c>
      <c r="F1349" s="2" t="s">
        <v>13</v>
      </c>
      <c r="G1349" s="2" t="s">
        <v>21</v>
      </c>
      <c r="H1349" s="4" t="str">
        <f>HYPERLINK("http://qiye.eastday.com/n34/u1ai1341385.html","http://qiye.eastday.com/n34/u1ai1341385.html")</f>
        <v>http://qiye.eastday.com/n34/u1ai1341385.html</v>
      </c>
      <c r="I1349" s="3" t="s">
        <v>1918</v>
      </c>
      <c r="J1349" t="s">
        <v>16</v>
      </c>
    </row>
    <row r="1350" ht="23" customHeight="1" spans="1:10">
      <c r="A1350" s="2">
        <v>1349</v>
      </c>
      <c r="B1350" s="3" t="s">
        <v>1908</v>
      </c>
      <c r="C1350" s="2" t="s">
        <v>1969</v>
      </c>
      <c r="D1350" s="2" t="s">
        <v>1970</v>
      </c>
      <c r="E1350" s="2" t="s">
        <v>1970</v>
      </c>
      <c r="F1350" s="2" t="s">
        <v>13</v>
      </c>
      <c r="G1350" s="2" t="s">
        <v>26</v>
      </c>
      <c r="H1350" s="4" t="str">
        <f>HYPERLINK("http://www.jiaoyukeji.com.cn/jiaoyu/7795516.html","http://www.jiaoyukeji.com.cn/jiaoyu/7795516.html")</f>
        <v>http://www.jiaoyukeji.com.cn/jiaoyu/7795516.html</v>
      </c>
      <c r="I1350" s="3" t="s">
        <v>1915</v>
      </c>
      <c r="J1350" t="s">
        <v>16</v>
      </c>
    </row>
    <row r="1351" ht="23" customHeight="1" spans="1:10">
      <c r="A1351" s="2">
        <v>1350</v>
      </c>
      <c r="B1351" s="3" t="s">
        <v>1971</v>
      </c>
      <c r="C1351" s="2" t="s">
        <v>1972</v>
      </c>
      <c r="D1351" s="2" t="s">
        <v>1973</v>
      </c>
      <c r="E1351" s="2" t="s">
        <v>1973</v>
      </c>
      <c r="F1351" s="2" t="s">
        <v>145</v>
      </c>
      <c r="G1351" s="2" t="s">
        <v>21</v>
      </c>
      <c r="H1351" s="4" t="str">
        <f>HYPERLINK("http://www.shfzb.com.cn/shfzb/html/2025-04/16/content_150407_2076837.htm","http://www.shfzb.com.cn/shfzb/html/2025-04/16/content_150407_2076837.htm")</f>
        <v>http://www.shfzb.com.cn/shfzb/html/2025-04/16/content_150407_2076837.htm</v>
      </c>
      <c r="I1351" s="3" t="s">
        <v>1974</v>
      </c>
      <c r="J1351" t="s">
        <v>16</v>
      </c>
    </row>
    <row r="1352" ht="23" customHeight="1" spans="1:10">
      <c r="A1352" s="2">
        <v>1351</v>
      </c>
      <c r="B1352" s="3" t="s">
        <v>1975</v>
      </c>
      <c r="C1352" s="2" t="s">
        <v>1976</v>
      </c>
      <c r="D1352" s="2" t="s">
        <v>91</v>
      </c>
      <c r="E1352" s="2" t="s">
        <v>1536</v>
      </c>
      <c r="F1352" s="2" t="s">
        <v>91</v>
      </c>
      <c r="G1352" s="2" t="s">
        <v>21</v>
      </c>
      <c r="H1352" s="4" t="str">
        <f>HYPERLINK("http://mp.weixin.qq.com/s?__biz=MzA4ODk3NTcxMQ==&amp;mid=2650311858&amp;idx=2&amp;sn=6ffdbbe5f08ea5499b11a20b11f996e5","http://mp.weixin.qq.com/s?__biz=MzA4ODk3NTcxMQ==&amp;mid=2650311858&amp;idx=2&amp;sn=6ffdbbe5f08ea5499b11a20b11f996e5")</f>
        <v>http://mp.weixin.qq.com/s?__biz=MzA4ODk3NTcxMQ==&amp;mid=2650311858&amp;idx=2&amp;sn=6ffdbbe5f08ea5499b11a20b11f996e5</v>
      </c>
      <c r="I1352" s="3" t="s">
        <v>1977</v>
      </c>
      <c r="J1352" t="s">
        <v>16</v>
      </c>
    </row>
    <row r="1353" ht="23" customHeight="1" spans="1:10">
      <c r="A1353" s="2">
        <v>1352</v>
      </c>
      <c r="B1353" s="3" t="s">
        <v>1978</v>
      </c>
      <c r="C1353" s="2" t="s">
        <v>1979</v>
      </c>
      <c r="D1353" s="2" t="s">
        <v>200</v>
      </c>
      <c r="E1353" s="2" t="s">
        <v>200</v>
      </c>
      <c r="F1353" s="2" t="s">
        <v>13</v>
      </c>
      <c r="G1353" s="2" t="s">
        <v>201</v>
      </c>
      <c r="H1353" s="4" t="str">
        <f>HYPERLINK("https://shanghai.eol.cn/shanghainews/202504/t20250415_2663693.shtml","https://shanghai.eol.cn/shanghainews/202504/t20250415_2663693.shtml")</f>
        <v>https://shanghai.eol.cn/shanghainews/202504/t20250415_2663693.shtml</v>
      </c>
      <c r="I1353" s="3" t="s">
        <v>1980</v>
      </c>
      <c r="J1353" t="s">
        <v>16</v>
      </c>
    </row>
    <row r="1354" ht="23" customHeight="1" spans="1:10">
      <c r="A1354" s="2">
        <v>1353</v>
      </c>
      <c r="B1354" s="3" t="s">
        <v>1981</v>
      </c>
      <c r="C1354" s="2" t="s">
        <v>1982</v>
      </c>
      <c r="D1354" s="2" t="s">
        <v>11</v>
      </c>
      <c r="E1354" s="2" t="s">
        <v>371</v>
      </c>
      <c r="F1354" s="2" t="s">
        <v>13</v>
      </c>
      <c r="G1354" s="2" t="s">
        <v>14</v>
      </c>
      <c r="H1354" s="4" t="str">
        <f>HYPERLINK("https://www.toutiao.com/article/7493341939782320655/","https://www.toutiao.com/article/7493341939782320655/")</f>
        <v>https://www.toutiao.com/article/7493341939782320655/</v>
      </c>
      <c r="I1354" s="3" t="s">
        <v>1983</v>
      </c>
      <c r="J1354" t="s">
        <v>16</v>
      </c>
    </row>
    <row r="1355" ht="23" customHeight="1" spans="1:10">
      <c r="A1355" s="2">
        <v>1354</v>
      </c>
      <c r="B1355" s="3" t="s">
        <v>1981</v>
      </c>
      <c r="C1355" s="2" t="s">
        <v>1984</v>
      </c>
      <c r="D1355" s="2" t="s">
        <v>41</v>
      </c>
      <c r="E1355" s="2" t="s">
        <v>371</v>
      </c>
      <c r="F1355" s="2" t="s">
        <v>13</v>
      </c>
      <c r="G1355" s="2" t="s">
        <v>14</v>
      </c>
      <c r="H1355" s="4" t="str">
        <f>HYPERLINK("https://mbd.baidu.com/newspage/data/dtlandingwise?nid=dt_9663270387022127371","https://mbd.baidu.com/newspage/data/dtlandingwise?nid=dt_9663270387022127371")</f>
        <v>https://mbd.baidu.com/newspage/data/dtlandingwise?nid=dt_9663270387022127371</v>
      </c>
      <c r="I1355" s="3" t="s">
        <v>1985</v>
      </c>
      <c r="J1355" t="s">
        <v>16</v>
      </c>
    </row>
    <row r="1356" ht="23" customHeight="1" spans="1:10">
      <c r="A1356" s="2">
        <v>1355</v>
      </c>
      <c r="B1356" s="3" t="s">
        <v>1981</v>
      </c>
      <c r="C1356" s="2" t="s">
        <v>1986</v>
      </c>
      <c r="D1356" s="2" t="s">
        <v>574</v>
      </c>
      <c r="E1356" s="2" t="s">
        <v>574</v>
      </c>
      <c r="F1356" s="2" t="s">
        <v>37</v>
      </c>
      <c r="G1356" s="2" t="s">
        <v>14</v>
      </c>
      <c r="H1356" s="4" t="str">
        <f>HYPERLINK("http://gmym.gmw.cn/detail/37966349/","http://gmym.gmw.cn/detail/37966349/")</f>
        <v>http://gmym.gmw.cn/detail/37966349/</v>
      </c>
      <c r="I1356" s="3" t="s">
        <v>1987</v>
      </c>
      <c r="J1356" t="s">
        <v>16</v>
      </c>
    </row>
    <row r="1357" ht="23" customHeight="1" spans="1:10">
      <c r="A1357" s="2">
        <v>1356</v>
      </c>
      <c r="B1357" s="3" t="s">
        <v>1981</v>
      </c>
      <c r="C1357" s="2" t="s">
        <v>1986</v>
      </c>
      <c r="D1357" s="2" t="s">
        <v>41</v>
      </c>
      <c r="E1357" s="2" t="s">
        <v>371</v>
      </c>
      <c r="F1357" s="2" t="s">
        <v>13</v>
      </c>
      <c r="G1357" s="2" t="s">
        <v>14</v>
      </c>
      <c r="H1357" s="4" t="str">
        <f>HYPERLINK("https://baijiahao.baidu.com/s?id=1829429625262886017","https://baijiahao.baidu.com/s?id=1829429625262886017")</f>
        <v>https://baijiahao.baidu.com/s?id=1829429625262886017</v>
      </c>
      <c r="I1357" s="3" t="s">
        <v>1988</v>
      </c>
      <c r="J1357" t="s">
        <v>16</v>
      </c>
    </row>
    <row r="1358" ht="23" customHeight="1" spans="1:10">
      <c r="A1358" s="2">
        <v>1357</v>
      </c>
      <c r="B1358" s="3" t="s">
        <v>1989</v>
      </c>
      <c r="C1358" s="2" t="s">
        <v>1990</v>
      </c>
      <c r="D1358" s="2" t="s">
        <v>19</v>
      </c>
      <c r="E1358" s="2" t="s">
        <v>1399</v>
      </c>
      <c r="F1358" s="2" t="s">
        <v>37</v>
      </c>
      <c r="G1358" s="2" t="s">
        <v>14</v>
      </c>
      <c r="H1358" s="4" t="str">
        <f>HYPERLINK("https://c.m.163.com/news/a/JSUL4HEL0550TYQ0.html","https://c.m.163.com/news/a/JSUL4HEL0550TYQ0.html")</f>
        <v>https://c.m.163.com/news/a/JSUL4HEL0550TYQ0.html</v>
      </c>
      <c r="I1358" s="3" t="s">
        <v>1991</v>
      </c>
      <c r="J1358" t="s">
        <v>16</v>
      </c>
    </row>
    <row r="1359" ht="23" customHeight="1" spans="1:10">
      <c r="A1359" s="2">
        <v>1358</v>
      </c>
      <c r="B1359" s="3" t="s">
        <v>1989</v>
      </c>
      <c r="C1359" s="2" t="s">
        <v>1992</v>
      </c>
      <c r="D1359" s="2" t="s">
        <v>379</v>
      </c>
      <c r="E1359" s="2" t="s">
        <v>1399</v>
      </c>
      <c r="F1359" s="2" t="s">
        <v>13</v>
      </c>
      <c r="G1359" s="2" t="s">
        <v>14</v>
      </c>
      <c r="H1359" s="4" t="str">
        <f>HYPERLINK("http://www.yidianzixun.com/article/10QHz8aS","http://www.yidianzixun.com/article/10QHz8aS")</f>
        <v>http://www.yidianzixun.com/article/10QHz8aS</v>
      </c>
      <c r="I1359" s="3" t="s">
        <v>1991</v>
      </c>
      <c r="J1359" t="s">
        <v>16</v>
      </c>
    </row>
    <row r="1360" ht="23" customHeight="1" spans="1:10">
      <c r="A1360" s="2">
        <v>1359</v>
      </c>
      <c r="B1360" s="3" t="s">
        <v>1989</v>
      </c>
      <c r="C1360" s="2" t="s">
        <v>1992</v>
      </c>
      <c r="D1360" s="2" t="s">
        <v>11</v>
      </c>
      <c r="E1360" s="2" t="s">
        <v>1399</v>
      </c>
      <c r="F1360" s="2" t="s">
        <v>13</v>
      </c>
      <c r="G1360" s="2" t="s">
        <v>14</v>
      </c>
      <c r="H1360" s="4" t="str">
        <f>HYPERLINK("https://www.toutiao.com/article/7492256682542825994/","https://www.toutiao.com/article/7492256682542825994/")</f>
        <v>https://www.toutiao.com/article/7492256682542825994/</v>
      </c>
      <c r="I1360" s="3" t="s">
        <v>1991</v>
      </c>
      <c r="J1360" t="s">
        <v>16</v>
      </c>
    </row>
    <row r="1361" ht="23" customHeight="1" spans="1:10">
      <c r="A1361" s="2">
        <v>1360</v>
      </c>
      <c r="B1361" s="3" t="s">
        <v>1989</v>
      </c>
      <c r="C1361" s="2" t="s">
        <v>1993</v>
      </c>
      <c r="D1361" s="2" t="s">
        <v>46</v>
      </c>
      <c r="E1361" s="2" t="s">
        <v>1399</v>
      </c>
      <c r="F1361" s="2" t="s">
        <v>13</v>
      </c>
      <c r="G1361" s="2" t="s">
        <v>14</v>
      </c>
      <c r="H1361" s="4" t="str">
        <f>HYPERLINK("https://www.sohu.com/a/883125189_257321","https://www.sohu.com/a/883125189_257321")</f>
        <v>https://www.sohu.com/a/883125189_257321</v>
      </c>
      <c r="I1361" s="3" t="s">
        <v>1991</v>
      </c>
      <c r="J1361" t="s">
        <v>16</v>
      </c>
    </row>
    <row r="1362" ht="23" customHeight="1" spans="1:10">
      <c r="A1362" s="2">
        <v>1361</v>
      </c>
      <c r="B1362" s="3" t="s">
        <v>1989</v>
      </c>
      <c r="C1362" s="2" t="s">
        <v>1993</v>
      </c>
      <c r="D1362" s="2" t="s">
        <v>46</v>
      </c>
      <c r="E1362" s="2" t="s">
        <v>1399</v>
      </c>
      <c r="F1362" s="2" t="s">
        <v>37</v>
      </c>
      <c r="G1362" s="2" t="s">
        <v>14</v>
      </c>
      <c r="H1362" s="4" t="str">
        <f>HYPERLINK("https://3g.k.sohu.com/t/n880110063?serialId=810b82664008ac711452382358a5445f&amp;showType=880110063","https://3g.k.sohu.com/t/n880110063?serialId=810b82664008ac711452382358a5445f&amp;showType=880110063")</f>
        <v>https://3g.k.sohu.com/t/n880110063?serialId=810b82664008ac711452382358a5445f&amp;showType=880110063</v>
      </c>
      <c r="I1362" s="3" t="s">
        <v>1991</v>
      </c>
      <c r="J1362" t="s">
        <v>16</v>
      </c>
    </row>
    <row r="1363" ht="23" customHeight="1" spans="1:10">
      <c r="A1363" s="2">
        <v>1362</v>
      </c>
      <c r="B1363" s="3" t="s">
        <v>1989</v>
      </c>
      <c r="C1363" s="2" t="s">
        <v>1994</v>
      </c>
      <c r="D1363" s="2" t="s">
        <v>35</v>
      </c>
      <c r="E1363" s="2" t="s">
        <v>1399</v>
      </c>
      <c r="F1363" s="2" t="s">
        <v>13</v>
      </c>
      <c r="G1363" s="2" t="s">
        <v>14</v>
      </c>
      <c r="H1363" s="4" t="str">
        <f>HYPERLINK("https://new.qq.com/rain/a/20250412A03MU600","https://new.qq.com/rain/a/20250412A03MU600")</f>
        <v>https://new.qq.com/rain/a/20250412A03MU600</v>
      </c>
      <c r="I1363" s="3" t="s">
        <v>1991</v>
      </c>
      <c r="J1363" t="s">
        <v>16</v>
      </c>
    </row>
    <row r="1364" ht="23" customHeight="1" spans="1:10">
      <c r="A1364" s="2">
        <v>1363</v>
      </c>
      <c r="B1364" s="3" t="s">
        <v>1989</v>
      </c>
      <c r="C1364" s="2" t="s">
        <v>1994</v>
      </c>
      <c r="D1364" s="2" t="s">
        <v>34</v>
      </c>
      <c r="E1364" s="2" t="s">
        <v>1399</v>
      </c>
      <c r="F1364" s="2" t="s">
        <v>13</v>
      </c>
      <c r="G1364" s="2" t="s">
        <v>14</v>
      </c>
      <c r="H1364" s="4" t="str">
        <f>HYPERLINK("https://kandianshare.html5.qq.com/v2/news/3723631620578836802","https://kandianshare.html5.qq.com/v2/news/3723631620578836802")</f>
        <v>https://kandianshare.html5.qq.com/v2/news/3723631620578836802</v>
      </c>
      <c r="I1364" s="3" t="s">
        <v>1991</v>
      </c>
      <c r="J1364" t="s">
        <v>16</v>
      </c>
    </row>
    <row r="1365" ht="23" customHeight="1" spans="1:10">
      <c r="A1365" s="2">
        <v>1364</v>
      </c>
      <c r="B1365" s="3" t="s">
        <v>1989</v>
      </c>
      <c r="C1365" s="2" t="s">
        <v>1995</v>
      </c>
      <c r="D1365" s="2" t="s">
        <v>1399</v>
      </c>
      <c r="E1365" s="2" t="s">
        <v>1996</v>
      </c>
      <c r="F1365" s="2" t="s">
        <v>13</v>
      </c>
      <c r="G1365" s="2" t="s">
        <v>14</v>
      </c>
      <c r="H1365" s="4" t="str">
        <f>HYPERLINK("https://www.workercn.cn/c/2025-04-12/8499042.shtml","https://www.workercn.cn/c/2025-04-12/8499042.shtml")</f>
        <v>https://www.workercn.cn/c/2025-04-12/8499042.shtml</v>
      </c>
      <c r="I1365" s="3" t="s">
        <v>1991</v>
      </c>
      <c r="J1365" t="s">
        <v>16</v>
      </c>
    </row>
    <row r="1366" ht="23" customHeight="1" spans="1:10">
      <c r="A1366" s="2">
        <v>1365</v>
      </c>
      <c r="B1366" s="3" t="s">
        <v>1989</v>
      </c>
      <c r="C1366" s="2" t="s">
        <v>1997</v>
      </c>
      <c r="D1366" s="2" t="s">
        <v>19</v>
      </c>
      <c r="E1366" s="2" t="s">
        <v>1769</v>
      </c>
      <c r="F1366" s="2" t="s">
        <v>37</v>
      </c>
      <c r="G1366" s="2" t="s">
        <v>14</v>
      </c>
      <c r="H1366" s="4" t="str">
        <f>HYPERLINK("https://c.m.163.com/news/a/JSSPMH650514R9OJ.html","https://c.m.163.com/news/a/JSSPMH650514R9OJ.html")</f>
        <v>https://c.m.163.com/news/a/JSSPMH650514R9OJ.html</v>
      </c>
      <c r="I1366" s="3" t="s">
        <v>1998</v>
      </c>
      <c r="J1366" t="s">
        <v>16</v>
      </c>
    </row>
    <row r="1367" ht="23" customHeight="1" spans="1:10">
      <c r="A1367" s="2">
        <v>1366</v>
      </c>
      <c r="B1367" s="3" t="s">
        <v>1989</v>
      </c>
      <c r="C1367" s="2" t="s">
        <v>1999</v>
      </c>
      <c r="D1367" s="2" t="s">
        <v>11</v>
      </c>
      <c r="E1367" s="2" t="s">
        <v>211</v>
      </c>
      <c r="F1367" s="2" t="s">
        <v>13</v>
      </c>
      <c r="G1367" s="2" t="s">
        <v>14</v>
      </c>
      <c r="H1367" s="4" t="str">
        <f>HYPERLINK("https://www.toutiao.com/article/7491989333987082790/","https://www.toutiao.com/article/7491989333987082790/")</f>
        <v>https://www.toutiao.com/article/7491989333987082790/</v>
      </c>
      <c r="I1367" s="3" t="s">
        <v>1991</v>
      </c>
      <c r="J1367" t="s">
        <v>16</v>
      </c>
    </row>
    <row r="1368" ht="23" customHeight="1" spans="1:10">
      <c r="A1368" s="2">
        <v>1367</v>
      </c>
      <c r="B1368" s="3" t="s">
        <v>1989</v>
      </c>
      <c r="C1368" s="2" t="s">
        <v>1999</v>
      </c>
      <c r="D1368" s="2" t="s">
        <v>107</v>
      </c>
      <c r="E1368" s="2" t="s">
        <v>211</v>
      </c>
      <c r="F1368" s="2" t="s">
        <v>13</v>
      </c>
      <c r="G1368" s="2" t="s">
        <v>14</v>
      </c>
      <c r="H1368" s="4" t="str">
        <f>HYPERLINK("https://k.sina.cn/article_1686546714_6486a91a02002ql2e.html","https://k.sina.cn/article_1686546714_6486a91a02002ql2e.html")</f>
        <v>https://k.sina.cn/article_1686546714_6486a91a02002ql2e.html</v>
      </c>
      <c r="I1368" s="3" t="s">
        <v>1991</v>
      </c>
      <c r="J1368" t="s">
        <v>16</v>
      </c>
    </row>
    <row r="1369" ht="23" customHeight="1" spans="1:10">
      <c r="A1369" s="2">
        <v>1368</v>
      </c>
      <c r="B1369" s="3" t="s">
        <v>1989</v>
      </c>
      <c r="C1369" s="2" t="s">
        <v>1999</v>
      </c>
      <c r="D1369" s="2" t="s">
        <v>29</v>
      </c>
      <c r="E1369" s="2" t="s">
        <v>211</v>
      </c>
      <c r="F1369" s="2" t="s">
        <v>13</v>
      </c>
      <c r="G1369" s="2" t="s">
        <v>14</v>
      </c>
      <c r="H1369" s="4" t="str">
        <f>HYPERLINK("https://finance.sina.cn/2025-04-11/detail-inesuxcq4831029.d.html","https://finance.sina.cn/2025-04-11/detail-inesuxcq4831029.d.html")</f>
        <v>https://finance.sina.cn/2025-04-11/detail-inesuxcq4831029.d.html</v>
      </c>
      <c r="I1369" s="3" t="s">
        <v>1991</v>
      </c>
      <c r="J1369" t="s">
        <v>16</v>
      </c>
    </row>
    <row r="1370" ht="23" customHeight="1" spans="1:10">
      <c r="A1370" s="2">
        <v>1369</v>
      </c>
      <c r="B1370" s="3" t="s">
        <v>1989</v>
      </c>
      <c r="C1370" s="2" t="s">
        <v>2000</v>
      </c>
      <c r="D1370" s="2" t="s">
        <v>11</v>
      </c>
      <c r="E1370" s="2" t="s">
        <v>87</v>
      </c>
      <c r="F1370" s="2" t="s">
        <v>13</v>
      </c>
      <c r="G1370" s="2" t="s">
        <v>26</v>
      </c>
      <c r="H1370" s="4" t="str">
        <f>HYPERLINK("https://www.toutiao.com/article/7491986632590393891/","https://www.toutiao.com/article/7491986632590393891/")</f>
        <v>https://www.toutiao.com/article/7491986632590393891/</v>
      </c>
      <c r="I1370" s="3" t="s">
        <v>1991</v>
      </c>
      <c r="J1370" t="s">
        <v>16</v>
      </c>
    </row>
    <row r="1371" ht="23" customHeight="1" spans="1:10">
      <c r="A1371" s="2">
        <v>1370</v>
      </c>
      <c r="B1371" s="3" t="s">
        <v>1989</v>
      </c>
      <c r="C1371" s="2" t="s">
        <v>2001</v>
      </c>
      <c r="D1371" s="2" t="s">
        <v>19</v>
      </c>
      <c r="E1371" s="2" t="s">
        <v>108</v>
      </c>
      <c r="F1371" s="2" t="s">
        <v>37</v>
      </c>
      <c r="G1371" s="2" t="s">
        <v>14</v>
      </c>
      <c r="H1371" s="4" t="str">
        <f>HYPERLINK("https://c.m.163.com/news/a/JSSN3NJM0530QRMB.html","https://c.m.163.com/news/a/JSSN3NJM0530QRMB.html")</f>
        <v>https://c.m.163.com/news/a/JSSN3NJM0530QRMB.html</v>
      </c>
      <c r="I1371" s="3" t="s">
        <v>1991</v>
      </c>
      <c r="J1371" t="s">
        <v>16</v>
      </c>
    </row>
    <row r="1372" ht="23" customHeight="1" spans="1:10">
      <c r="A1372" s="2">
        <v>1371</v>
      </c>
      <c r="B1372" s="3" t="s">
        <v>1989</v>
      </c>
      <c r="C1372" s="2" t="s">
        <v>2002</v>
      </c>
      <c r="D1372" s="2" t="s">
        <v>745</v>
      </c>
      <c r="E1372" s="2" t="s">
        <v>108</v>
      </c>
      <c r="F1372" s="2" t="s">
        <v>13</v>
      </c>
      <c r="G1372" s="2" t="s">
        <v>26</v>
      </c>
      <c r="H1372" s="4" t="str">
        <f>HYPERLINK("https://mini.eastday.com/nsa/250411172109894928043.html","https://mini.eastday.com/nsa/250411172109894928043.html")</f>
        <v>https://mini.eastday.com/nsa/250411172109894928043.html</v>
      </c>
      <c r="I1372" s="3" t="s">
        <v>1991</v>
      </c>
      <c r="J1372" t="s">
        <v>16</v>
      </c>
    </row>
    <row r="1373" ht="23" customHeight="1" spans="1:10">
      <c r="A1373" s="2">
        <v>1372</v>
      </c>
      <c r="B1373" s="3" t="s">
        <v>1989</v>
      </c>
      <c r="C1373" s="2" t="s">
        <v>2003</v>
      </c>
      <c r="D1373" s="2" t="s">
        <v>95</v>
      </c>
      <c r="E1373" s="2" t="s">
        <v>95</v>
      </c>
      <c r="F1373" s="2" t="s">
        <v>13</v>
      </c>
      <c r="G1373" s="2" t="s">
        <v>14</v>
      </c>
      <c r="H1373" s="4" t="str">
        <f>HYPERLINK("http://edu.people.com.cn/BIG5/n1/2025/0411/c1006-40458065.html","http://edu.people.com.cn/BIG5/n1/2025/0411/c1006-40458065.html")</f>
        <v>http://edu.people.com.cn/BIG5/n1/2025/0411/c1006-40458065.html</v>
      </c>
      <c r="I1373" s="3" t="s">
        <v>1991</v>
      </c>
      <c r="J1373" t="s">
        <v>16</v>
      </c>
    </row>
    <row r="1374" ht="23" customHeight="1" spans="1:10">
      <c r="A1374" s="2">
        <v>1373</v>
      </c>
      <c r="B1374" s="3" t="s">
        <v>1989</v>
      </c>
      <c r="C1374" s="2" t="s">
        <v>2003</v>
      </c>
      <c r="D1374" s="2" t="s">
        <v>95</v>
      </c>
      <c r="E1374" s="2" t="s">
        <v>95</v>
      </c>
      <c r="F1374" s="2" t="s">
        <v>13</v>
      </c>
      <c r="G1374" s="2" t="s">
        <v>14</v>
      </c>
      <c r="H1374" s="4" t="str">
        <f>HYPERLINK("http://edu.people.com.cn/n1/2025/0411/c1006-40458065.html","http://edu.people.com.cn/n1/2025/0411/c1006-40458065.html")</f>
        <v>http://edu.people.com.cn/n1/2025/0411/c1006-40458065.html</v>
      </c>
      <c r="I1374" s="3" t="s">
        <v>1991</v>
      </c>
      <c r="J1374" t="s">
        <v>16</v>
      </c>
    </row>
    <row r="1375" ht="23" customHeight="1" spans="1:10">
      <c r="A1375" s="2">
        <v>1374</v>
      </c>
      <c r="B1375" s="3" t="s">
        <v>1989</v>
      </c>
      <c r="C1375" s="2" t="s">
        <v>2003</v>
      </c>
      <c r="D1375" s="2" t="s">
        <v>107</v>
      </c>
      <c r="E1375" s="2" t="s">
        <v>108</v>
      </c>
      <c r="F1375" s="2" t="s">
        <v>13</v>
      </c>
      <c r="G1375" s="2" t="s">
        <v>14</v>
      </c>
      <c r="H1375" s="4" t="str">
        <f>HYPERLINK("https://k.sina.cn/article_7517400647_1c0126e4705906skgg.html","https://k.sina.cn/article_7517400647_1c0126e4705906skgg.html")</f>
        <v>https://k.sina.cn/article_7517400647_1c0126e4705906skgg.html</v>
      </c>
      <c r="I1375" s="3" t="s">
        <v>1991</v>
      </c>
      <c r="J1375" t="s">
        <v>16</v>
      </c>
    </row>
    <row r="1376" ht="23" customHeight="1" spans="1:10">
      <c r="A1376" s="2">
        <v>1375</v>
      </c>
      <c r="B1376" s="3" t="s">
        <v>1989</v>
      </c>
      <c r="C1376" s="2" t="s">
        <v>2003</v>
      </c>
      <c r="D1376" s="2" t="s">
        <v>41</v>
      </c>
      <c r="E1376" s="2" t="s">
        <v>87</v>
      </c>
      <c r="F1376" s="2" t="s">
        <v>13</v>
      </c>
      <c r="G1376" s="2" t="s">
        <v>26</v>
      </c>
      <c r="H1376" s="4" t="str">
        <f>HYPERLINK("https://baijiahao.baidu.com/s?id=1829097498457682955","https://baijiahao.baidu.com/s?id=1829097498457682955")</f>
        <v>https://baijiahao.baidu.com/s?id=1829097498457682955</v>
      </c>
      <c r="I1376" s="3" t="s">
        <v>1991</v>
      </c>
      <c r="J1376" t="s">
        <v>16</v>
      </c>
    </row>
    <row r="1377" ht="23" customHeight="1" spans="1:10">
      <c r="A1377" s="2">
        <v>1376</v>
      </c>
      <c r="B1377" s="3" t="s">
        <v>1989</v>
      </c>
      <c r="C1377" s="2" t="s">
        <v>2003</v>
      </c>
      <c r="D1377" s="2" t="s">
        <v>286</v>
      </c>
      <c r="E1377" s="2" t="s">
        <v>95</v>
      </c>
      <c r="F1377" s="2" t="s">
        <v>13</v>
      </c>
      <c r="G1377" s="2" t="s">
        <v>14</v>
      </c>
      <c r="H1377" s="4" t="str">
        <f>HYPERLINK("https://www.360kuai.com/pc/detail?url=http%3A%2F%2Fzm.news.so.com%2F98937745db18e2ca971131e1a38554d2&amp;check=cd51970d03bae6cc","https://www.360kuai.com/pc/detail?url=http%3A%2F%2Fzm.news.so.com%2F98937745db18e2ca971131e1a38554d2&amp;check=cd51970d03bae6cc")</f>
        <v>https://www.360kuai.com/pc/detail?url=http%3A%2F%2Fzm.news.so.com%2F98937745db18e2ca971131e1a38554d2&amp;check=cd51970d03bae6cc</v>
      </c>
      <c r="I1377" s="3" t="s">
        <v>1991</v>
      </c>
      <c r="J1377" t="s">
        <v>16</v>
      </c>
    </row>
    <row r="1378" ht="23" customHeight="1" spans="1:10">
      <c r="A1378" s="2">
        <v>1377</v>
      </c>
      <c r="B1378" s="3" t="s">
        <v>1989</v>
      </c>
      <c r="C1378" s="2" t="s">
        <v>2003</v>
      </c>
      <c r="D1378" s="2" t="s">
        <v>286</v>
      </c>
      <c r="E1378" s="2" t="s">
        <v>108</v>
      </c>
      <c r="F1378" s="2" t="s">
        <v>13</v>
      </c>
      <c r="G1378" s="2" t="s">
        <v>14</v>
      </c>
      <c r="H1378" s="4" t="str">
        <f>HYPERLINK("https://www.360kuai.com/pc/detail?url=http%3A%2F%2Fzm.news.so.com%2F2a05f2acced57ddb377aab5c496f4e40&amp;check=c6dc2d646b82e61e","https://www.360kuai.com/pc/detail?url=http%3A%2F%2Fzm.news.so.com%2F2a05f2acced57ddb377aab5c496f4e40&amp;check=c6dc2d646b82e61e")</f>
        <v>https://www.360kuai.com/pc/detail?url=http%3A%2F%2Fzm.news.so.com%2F2a05f2acced57ddb377aab5c496f4e40&amp;check=c6dc2d646b82e61e</v>
      </c>
      <c r="I1378" s="3" t="s">
        <v>1991</v>
      </c>
      <c r="J1378" t="s">
        <v>16</v>
      </c>
    </row>
    <row r="1379" ht="23" customHeight="1" spans="1:10">
      <c r="A1379" s="2">
        <v>1378</v>
      </c>
      <c r="B1379" s="3" t="s">
        <v>1989</v>
      </c>
      <c r="C1379" s="2" t="s">
        <v>2003</v>
      </c>
      <c r="D1379" s="2" t="s">
        <v>273</v>
      </c>
      <c r="E1379" s="2" t="s">
        <v>273</v>
      </c>
      <c r="F1379" s="2" t="s">
        <v>37</v>
      </c>
      <c r="G1379" s="2" t="s">
        <v>14</v>
      </c>
      <c r="H1379" s="4" t="str">
        <f>HYPERLINK("http://edu-app.people.cn/n1/2025/0411/c1006-40458065.html","http://edu-app.people.cn/n1/2025/0411/c1006-40458065.html")</f>
        <v>http://edu-app.people.cn/n1/2025/0411/c1006-40458065.html</v>
      </c>
      <c r="I1379" s="3" t="s">
        <v>1991</v>
      </c>
      <c r="J1379" t="s">
        <v>16</v>
      </c>
    </row>
    <row r="1380" ht="23" customHeight="1" spans="1:10">
      <c r="A1380" s="2">
        <v>1379</v>
      </c>
      <c r="B1380" s="3" t="s">
        <v>1989</v>
      </c>
      <c r="C1380" s="2" t="s">
        <v>2003</v>
      </c>
      <c r="D1380" s="2" t="s">
        <v>107</v>
      </c>
      <c r="E1380" s="2" t="s">
        <v>87</v>
      </c>
      <c r="F1380" s="2" t="s">
        <v>13</v>
      </c>
      <c r="G1380" s="2" t="s">
        <v>26</v>
      </c>
      <c r="H1380" s="4" t="str">
        <f>HYPERLINK("https://k.sina.cn/article_6824573189_196c6b905020027cg8.html","https://k.sina.cn/article_6824573189_196c6b905020027cg8.html")</f>
        <v>https://k.sina.cn/article_6824573189_196c6b905020027cg8.html</v>
      </c>
      <c r="I1380" s="3" t="s">
        <v>1991</v>
      </c>
      <c r="J1380" t="s">
        <v>16</v>
      </c>
    </row>
    <row r="1381" ht="23" customHeight="1" spans="1:10">
      <c r="A1381" s="2">
        <v>1380</v>
      </c>
      <c r="B1381" s="3" t="s">
        <v>2004</v>
      </c>
      <c r="C1381" s="2" t="s">
        <v>2005</v>
      </c>
      <c r="D1381" s="2" t="s">
        <v>2006</v>
      </c>
      <c r="E1381" s="2" t="s">
        <v>2006</v>
      </c>
      <c r="F1381" s="2" t="s">
        <v>13</v>
      </c>
      <c r="G1381" s="2" t="s">
        <v>26</v>
      </c>
      <c r="H1381" s="4" t="str">
        <f>HYPERLINK("https://news.ca168.com/202504/137187.html","https://news.ca168.com/202504/137187.html")</f>
        <v>https://news.ca168.com/202504/137187.html</v>
      </c>
      <c r="I1381" s="3" t="s">
        <v>2007</v>
      </c>
      <c r="J1381" t="s">
        <v>16</v>
      </c>
    </row>
    <row r="1382" ht="23" customHeight="1" spans="1:10">
      <c r="A1382" s="2">
        <v>1381</v>
      </c>
      <c r="B1382" s="3" t="s">
        <v>2004</v>
      </c>
      <c r="C1382" s="2" t="s">
        <v>2008</v>
      </c>
      <c r="D1382" s="2" t="s">
        <v>2009</v>
      </c>
      <c r="E1382" s="2" t="s">
        <v>2009</v>
      </c>
      <c r="F1382" s="2" t="s">
        <v>13</v>
      </c>
      <c r="G1382" s="2" t="s">
        <v>26</v>
      </c>
      <c r="H1382" s="4" t="str">
        <f>HYPERLINK("http://www.025002.com/exhibition/29943.cshtml","http://www.025002.com/exhibition/29943.cshtml")</f>
        <v>http://www.025002.com/exhibition/29943.cshtml</v>
      </c>
      <c r="I1382" s="3" t="s">
        <v>2010</v>
      </c>
      <c r="J1382" t="s">
        <v>16</v>
      </c>
    </row>
    <row r="1383" ht="23" customHeight="1" spans="1:10">
      <c r="A1383" s="2">
        <v>1382</v>
      </c>
      <c r="B1383" s="3" t="s">
        <v>2011</v>
      </c>
      <c r="C1383" s="2" t="s">
        <v>2012</v>
      </c>
      <c r="D1383" s="2" t="s">
        <v>41</v>
      </c>
      <c r="E1383" s="2" t="s">
        <v>544</v>
      </c>
      <c r="F1383" s="2" t="s">
        <v>13</v>
      </c>
      <c r="G1383" s="2" t="s">
        <v>14</v>
      </c>
      <c r="H1383" s="4" t="str">
        <f>HYPERLINK("https://baijiahao.baidu.com/s?id=1828728027508154151","https://baijiahao.baidu.com/s?id=1828728027508154151")</f>
        <v>https://baijiahao.baidu.com/s?id=1828728027508154151</v>
      </c>
      <c r="I1383" s="3" t="s">
        <v>2013</v>
      </c>
      <c r="J1383" t="s">
        <v>16</v>
      </c>
    </row>
    <row r="1384" ht="23" customHeight="1" spans="1:10">
      <c r="A1384" s="2">
        <v>1383</v>
      </c>
      <c r="B1384" s="3" t="s">
        <v>2014</v>
      </c>
      <c r="C1384" s="2" t="s">
        <v>2015</v>
      </c>
      <c r="D1384" s="2" t="s">
        <v>2016</v>
      </c>
      <c r="E1384" s="2" t="s">
        <v>2017</v>
      </c>
      <c r="F1384" s="2" t="s">
        <v>37</v>
      </c>
      <c r="G1384" s="2" t="s">
        <v>14</v>
      </c>
      <c r="H1384" s="4" t="str">
        <f>HYPERLINK("https://app.guangmingdaily.cn/as/opened/n/fafe6183bb8b41cfa77b8a80a60b68a7","https://app.guangmingdaily.cn/as/opened/n/fafe6183bb8b41cfa77b8a80a60b68a7")</f>
        <v>https://app.guangmingdaily.cn/as/opened/n/fafe6183bb8b41cfa77b8a80a60b68a7</v>
      </c>
      <c r="I1384" s="3" t="s">
        <v>2018</v>
      </c>
      <c r="J1384" t="s">
        <v>16</v>
      </c>
    </row>
    <row r="1385" ht="23" customHeight="1" spans="1:10">
      <c r="A1385" s="2">
        <v>1384</v>
      </c>
      <c r="B1385" s="3" t="s">
        <v>2019</v>
      </c>
      <c r="C1385" s="2" t="s">
        <v>2020</v>
      </c>
      <c r="D1385" s="2" t="s">
        <v>41</v>
      </c>
      <c r="E1385" s="2" t="s">
        <v>126</v>
      </c>
      <c r="F1385" s="2" t="s">
        <v>13</v>
      </c>
      <c r="G1385" s="2" t="s">
        <v>21</v>
      </c>
      <c r="H1385" s="4" t="str">
        <f>HYPERLINK("https://baijiahao.baidu.com/s?id=1828429717862079680","https://baijiahao.baidu.com/s?id=1828429717862079680")</f>
        <v>https://baijiahao.baidu.com/s?id=1828429717862079680</v>
      </c>
      <c r="I1385" s="3" t="s">
        <v>2021</v>
      </c>
      <c r="J1385" t="s">
        <v>16</v>
      </c>
    </row>
    <row r="1386" ht="23" customHeight="1" spans="1:10">
      <c r="A1386" s="2">
        <v>1385</v>
      </c>
      <c r="B1386" s="3" t="s">
        <v>2022</v>
      </c>
      <c r="C1386" s="2" t="s">
        <v>2023</v>
      </c>
      <c r="D1386" s="2" t="s">
        <v>41</v>
      </c>
      <c r="E1386" s="2" t="s">
        <v>20</v>
      </c>
      <c r="F1386" s="2" t="s">
        <v>13</v>
      </c>
      <c r="G1386" s="2" t="s">
        <v>21</v>
      </c>
      <c r="H1386" s="4" t="str">
        <f>HYPERLINK("https://baijiahao.baidu.com/s?id=1828392200865998179","https://baijiahao.baidu.com/s?id=1828392200865998179")</f>
        <v>https://baijiahao.baidu.com/s?id=1828392200865998179</v>
      </c>
      <c r="I1386" s="3" t="s">
        <v>2024</v>
      </c>
      <c r="J1386" t="s">
        <v>16</v>
      </c>
    </row>
    <row r="1387" ht="23" customHeight="1" spans="1:10">
      <c r="A1387" s="2">
        <v>1386</v>
      </c>
      <c r="B1387" s="3" t="s">
        <v>2022</v>
      </c>
      <c r="C1387" s="2" t="s">
        <v>2025</v>
      </c>
      <c r="D1387" s="2" t="s">
        <v>19</v>
      </c>
      <c r="E1387" s="2" t="s">
        <v>20</v>
      </c>
      <c r="F1387" s="2" t="s">
        <v>37</v>
      </c>
      <c r="G1387" s="2" t="s">
        <v>21</v>
      </c>
      <c r="H1387" s="4" t="str">
        <f>HYPERLINK("https://c.m.163.com/news/a/JS8L93VM055040N3.html","https://c.m.163.com/news/a/JS8L93VM055040N3.html")</f>
        <v>https://c.m.163.com/news/a/JS8L93VM055040N3.html</v>
      </c>
      <c r="I1387" s="3" t="s">
        <v>2024</v>
      </c>
      <c r="J1387" t="s">
        <v>16</v>
      </c>
    </row>
    <row r="1388" ht="23" customHeight="1" spans="1:10">
      <c r="A1388" s="2">
        <v>1387</v>
      </c>
      <c r="B1388" s="3" t="s">
        <v>2022</v>
      </c>
      <c r="C1388" s="2" t="s">
        <v>2026</v>
      </c>
      <c r="D1388" s="2" t="s">
        <v>11</v>
      </c>
      <c r="E1388" s="2" t="s">
        <v>20</v>
      </c>
      <c r="F1388" s="2" t="s">
        <v>13</v>
      </c>
      <c r="G1388" s="2" t="s">
        <v>21</v>
      </c>
      <c r="H1388" s="4" t="str">
        <f>HYPERLINK("https://www.toutiao.com/article/7489086605875003943/","https://www.toutiao.com/article/7489086605875003943/")</f>
        <v>https://www.toutiao.com/article/7489086605875003943/</v>
      </c>
      <c r="I1388" s="3" t="s">
        <v>2024</v>
      </c>
      <c r="J1388" t="s">
        <v>16</v>
      </c>
    </row>
    <row r="1389" ht="23" customHeight="1" spans="1:10">
      <c r="A1389" s="2">
        <v>1388</v>
      </c>
      <c r="B1389" s="3" t="s">
        <v>2022</v>
      </c>
      <c r="C1389" s="2" t="s">
        <v>2027</v>
      </c>
      <c r="D1389" s="2" t="s">
        <v>91</v>
      </c>
      <c r="E1389" s="2" t="s">
        <v>587</v>
      </c>
      <c r="F1389" s="2" t="s">
        <v>91</v>
      </c>
      <c r="G1389" s="2" t="s">
        <v>26</v>
      </c>
      <c r="H1389" s="4" t="str">
        <f>HYPERLINK("http://mp.weixin.qq.com/s?__biz=MjM5Njg0ODc5NA==&amp;mid=2651508904&amp;idx=3&amp;sn=63513a7c617b5cf94f75651665f5fda3","http://mp.weixin.qq.com/s?__biz=MjM5Njg0ODc5NA==&amp;mid=2651508904&amp;idx=3&amp;sn=63513a7c617b5cf94f75651665f5fda3")</f>
        <v>http://mp.weixin.qq.com/s?__biz=MjM5Njg0ODc5NA==&amp;mid=2651508904&amp;idx=3&amp;sn=63513a7c617b5cf94f75651665f5fda3</v>
      </c>
      <c r="I1389" s="3" t="s">
        <v>2024</v>
      </c>
      <c r="J1389" t="s">
        <v>16</v>
      </c>
    </row>
    <row r="1390" ht="23" customHeight="1" spans="1:10">
      <c r="A1390" s="2">
        <v>1389</v>
      </c>
      <c r="B1390" s="3" t="s">
        <v>2019</v>
      </c>
      <c r="C1390" s="2" t="s">
        <v>2028</v>
      </c>
      <c r="D1390" s="2" t="s">
        <v>19</v>
      </c>
      <c r="E1390" s="2" t="s">
        <v>20</v>
      </c>
      <c r="F1390" s="2" t="s">
        <v>37</v>
      </c>
      <c r="G1390" s="2" t="s">
        <v>21</v>
      </c>
      <c r="H1390" s="4" t="str">
        <f>HYPERLINK("https://c.m.163.com/news/a/JS8EKUP7055040N3.html","https://c.m.163.com/news/a/JS8EKUP7055040N3.html")</f>
        <v>https://c.m.163.com/news/a/JS8EKUP7055040N3.html</v>
      </c>
      <c r="I1390" s="3" t="s">
        <v>2021</v>
      </c>
      <c r="J1390" t="s">
        <v>16</v>
      </c>
    </row>
    <row r="1391" ht="23" customHeight="1" spans="1:10">
      <c r="A1391" s="2">
        <v>1390</v>
      </c>
      <c r="B1391" s="3" t="s">
        <v>2019</v>
      </c>
      <c r="C1391" s="2" t="s">
        <v>2029</v>
      </c>
      <c r="D1391" s="2" t="s">
        <v>41</v>
      </c>
      <c r="E1391" s="2" t="s">
        <v>20</v>
      </c>
      <c r="F1391" s="2" t="s">
        <v>13</v>
      </c>
      <c r="G1391" s="2" t="s">
        <v>21</v>
      </c>
      <c r="H1391" s="4" t="str">
        <f>HYPERLINK("https://baijiahao.baidu.com/s?id=1828384682609408278","https://baijiahao.baidu.com/s?id=1828384682609408278")</f>
        <v>https://baijiahao.baidu.com/s?id=1828384682609408278</v>
      </c>
      <c r="I1391" s="3" t="s">
        <v>2021</v>
      </c>
      <c r="J1391" t="s">
        <v>16</v>
      </c>
    </row>
    <row r="1392" ht="23" customHeight="1" spans="1:10">
      <c r="A1392" s="2">
        <v>1391</v>
      </c>
      <c r="B1392" s="3" t="s">
        <v>2019</v>
      </c>
      <c r="C1392" s="2" t="s">
        <v>2030</v>
      </c>
      <c r="D1392" s="2" t="s">
        <v>11</v>
      </c>
      <c r="E1392" s="2" t="s">
        <v>20</v>
      </c>
      <c r="F1392" s="2" t="s">
        <v>13</v>
      </c>
      <c r="G1392" s="2" t="s">
        <v>21</v>
      </c>
      <c r="H1392" s="4" t="str">
        <f>HYPERLINK("https://www.toutiao.com/article/7489055501851099683/","https://www.toutiao.com/article/7489055501851099683/")</f>
        <v>https://www.toutiao.com/article/7489055501851099683/</v>
      </c>
      <c r="I1392" s="3" t="s">
        <v>2021</v>
      </c>
      <c r="J1392" t="s">
        <v>16</v>
      </c>
    </row>
    <row r="1393" ht="23" customHeight="1" spans="1:10">
      <c r="A1393" s="2">
        <v>1392</v>
      </c>
      <c r="B1393" s="3" t="s">
        <v>2011</v>
      </c>
      <c r="C1393" s="2" t="s">
        <v>2031</v>
      </c>
      <c r="D1393" s="2" t="s">
        <v>19</v>
      </c>
      <c r="E1393" s="2" t="s">
        <v>555</v>
      </c>
      <c r="F1393" s="2" t="s">
        <v>37</v>
      </c>
      <c r="G1393" s="2" t="s">
        <v>14</v>
      </c>
      <c r="H1393" s="4" t="str">
        <f>HYPERLINK("https://c.m.163.com/news/a/JS8CC6S90550CBNY.html","https://c.m.163.com/news/a/JS8CC6S90550CBNY.html")</f>
        <v>https://c.m.163.com/news/a/JS8CC6S90550CBNY.html</v>
      </c>
      <c r="I1393" s="3" t="s">
        <v>2013</v>
      </c>
      <c r="J1393" t="s">
        <v>16</v>
      </c>
    </row>
    <row r="1394" ht="23" customHeight="1" spans="1:10">
      <c r="A1394" s="2">
        <v>1393</v>
      </c>
      <c r="B1394" s="3" t="s">
        <v>2011</v>
      </c>
      <c r="C1394" s="2" t="s">
        <v>2032</v>
      </c>
      <c r="D1394" s="2" t="s">
        <v>555</v>
      </c>
      <c r="E1394" s="2" t="s">
        <v>2033</v>
      </c>
      <c r="F1394" s="2" t="s">
        <v>13</v>
      </c>
      <c r="G1394" s="2" t="s">
        <v>14</v>
      </c>
      <c r="H1394" s="4" t="str">
        <f>HYPERLINK("http://www.jyb.cn/rmtzcg/xwy/wzxw/202504/t20250403_2111327460.html","http://www.jyb.cn/rmtzcg/xwy/wzxw/202504/t20250403_2111327460.html")</f>
        <v>http://www.jyb.cn/rmtzcg/xwy/wzxw/202504/t20250403_2111327460.html</v>
      </c>
      <c r="I1394" s="3" t="s">
        <v>2013</v>
      </c>
      <c r="J1394" t="s">
        <v>16</v>
      </c>
    </row>
    <row r="1395" ht="23" customHeight="1" spans="1:10">
      <c r="A1395" s="2">
        <v>1394</v>
      </c>
      <c r="B1395" s="3" t="s">
        <v>2011</v>
      </c>
      <c r="C1395" s="2" t="s">
        <v>2034</v>
      </c>
      <c r="D1395" s="2" t="s">
        <v>46</v>
      </c>
      <c r="E1395" s="2" t="s">
        <v>555</v>
      </c>
      <c r="F1395" s="2" t="s">
        <v>37</v>
      </c>
      <c r="G1395" s="2" t="s">
        <v>14</v>
      </c>
      <c r="H1395" s="4" t="str">
        <f>HYPERLINK("https://3g.k.sohu.com/t/n877766443?serialId=3c8259ccac6cd53a69e0eeb0e6899c82&amp;showType=877766443","https://3g.k.sohu.com/t/n877766443?serialId=3c8259ccac6cd53a69e0eeb0e6899c82&amp;showType=877766443")</f>
        <v>https://3g.k.sohu.com/t/n877766443?serialId=3c8259ccac6cd53a69e0eeb0e6899c82&amp;showType=877766443</v>
      </c>
      <c r="I1395" s="3" t="s">
        <v>2013</v>
      </c>
      <c r="J1395" t="s">
        <v>16</v>
      </c>
    </row>
    <row r="1396" ht="23" customHeight="1" spans="1:10">
      <c r="A1396" s="2">
        <v>1395</v>
      </c>
      <c r="B1396" s="3" t="s">
        <v>2011</v>
      </c>
      <c r="C1396" s="2" t="s">
        <v>2034</v>
      </c>
      <c r="D1396" s="2" t="s">
        <v>46</v>
      </c>
      <c r="E1396" s="2" t="s">
        <v>555</v>
      </c>
      <c r="F1396" s="2" t="s">
        <v>13</v>
      </c>
      <c r="G1396" s="2" t="s">
        <v>14</v>
      </c>
      <c r="H1396" s="4" t="str">
        <f>HYPERLINK("https://www.sohu.com/a/879430744_243614","https://www.sohu.com/a/879430744_243614")</f>
        <v>https://www.sohu.com/a/879430744_243614</v>
      </c>
      <c r="I1396" s="3" t="s">
        <v>2013</v>
      </c>
      <c r="J1396" t="s">
        <v>16</v>
      </c>
    </row>
    <row r="1397" ht="23" customHeight="1" spans="1:10">
      <c r="A1397" s="2">
        <v>1396</v>
      </c>
      <c r="B1397" s="3" t="s">
        <v>2011</v>
      </c>
      <c r="C1397" s="2" t="s">
        <v>2034</v>
      </c>
      <c r="D1397" s="2" t="s">
        <v>41</v>
      </c>
      <c r="E1397" s="2" t="s">
        <v>555</v>
      </c>
      <c r="F1397" s="2" t="s">
        <v>13</v>
      </c>
      <c r="G1397" s="2" t="s">
        <v>14</v>
      </c>
      <c r="H1397" s="4" t="str">
        <f>HYPERLINK("https://baijiahao.baidu.com/s?id=1828380366265033026","https://baijiahao.baidu.com/s?id=1828380366265033026")</f>
        <v>https://baijiahao.baidu.com/s?id=1828380366265033026</v>
      </c>
      <c r="I1397" s="3" t="s">
        <v>2013</v>
      </c>
      <c r="J1397" t="s">
        <v>16</v>
      </c>
    </row>
    <row r="1398" ht="23" customHeight="1" spans="1:10">
      <c r="A1398" s="2">
        <v>1397</v>
      </c>
      <c r="B1398" s="3" t="s">
        <v>2035</v>
      </c>
      <c r="C1398" s="2" t="s">
        <v>2036</v>
      </c>
      <c r="D1398" s="2" t="s">
        <v>2037</v>
      </c>
      <c r="E1398" s="2" t="s">
        <v>2037</v>
      </c>
      <c r="F1398" s="2" t="s">
        <v>13</v>
      </c>
      <c r="G1398" s="2" t="s">
        <v>14</v>
      </c>
      <c r="H1398" s="4" t="str">
        <f>HYPERLINK("http://city.ce.cn/xx/202504/t20250403_1319862.shtml","http://city.ce.cn/xx/202504/t20250403_1319862.shtml")</f>
        <v>http://city.ce.cn/xx/202504/t20250403_1319862.shtml</v>
      </c>
      <c r="I1398" s="3" t="s">
        <v>2038</v>
      </c>
      <c r="J1398" t="s">
        <v>16</v>
      </c>
    </row>
    <row r="1399" ht="23" customHeight="1" spans="1:10">
      <c r="A1399" s="2">
        <v>1398</v>
      </c>
      <c r="B1399" s="3" t="s">
        <v>2035</v>
      </c>
      <c r="C1399" s="2" t="s">
        <v>2039</v>
      </c>
      <c r="D1399" s="2" t="s">
        <v>41</v>
      </c>
      <c r="E1399" s="2" t="s">
        <v>57</v>
      </c>
      <c r="F1399" s="2" t="s">
        <v>13</v>
      </c>
      <c r="G1399" s="2" t="s">
        <v>14</v>
      </c>
      <c r="H1399" s="4" t="str">
        <f>HYPERLINK("https://mbd.baidu.com/newspage/data/dtlandingwise?nid=dt_9508432911785052108","https://mbd.baidu.com/newspage/data/dtlandingwise?nid=dt_9508432911785052108")</f>
        <v>https://mbd.baidu.com/newspage/data/dtlandingwise?nid=dt_9508432911785052108</v>
      </c>
      <c r="I1399" s="3" t="s">
        <v>2040</v>
      </c>
      <c r="J1399" t="s">
        <v>16</v>
      </c>
    </row>
    <row r="1400" ht="23" customHeight="1" spans="1:10">
      <c r="A1400" s="2">
        <v>1399</v>
      </c>
      <c r="B1400" s="3" t="s">
        <v>2035</v>
      </c>
      <c r="C1400" s="2" t="s">
        <v>2039</v>
      </c>
      <c r="D1400" s="2" t="s">
        <v>11</v>
      </c>
      <c r="E1400" s="2" t="s">
        <v>57</v>
      </c>
      <c r="F1400" s="2" t="s">
        <v>13</v>
      </c>
      <c r="G1400" s="2" t="s">
        <v>14</v>
      </c>
      <c r="H1400" s="4" t="str">
        <f>HYPERLINK("https://www.toutiao.com/article/7488996177883562534/","https://www.toutiao.com/article/7488996177883562534/")</f>
        <v>https://www.toutiao.com/article/7488996177883562534/</v>
      </c>
      <c r="I1400" s="3" t="s">
        <v>2038</v>
      </c>
      <c r="J1400" t="s">
        <v>16</v>
      </c>
    </row>
    <row r="1401" ht="23" customHeight="1" spans="1:10">
      <c r="A1401" s="2">
        <v>1400</v>
      </c>
      <c r="B1401" s="3" t="s">
        <v>2035</v>
      </c>
      <c r="C1401" s="2" t="s">
        <v>2041</v>
      </c>
      <c r="D1401" s="2" t="s">
        <v>46</v>
      </c>
      <c r="E1401" s="2" t="s">
        <v>57</v>
      </c>
      <c r="F1401" s="2" t="s">
        <v>37</v>
      </c>
      <c r="G1401" s="2" t="s">
        <v>14</v>
      </c>
      <c r="H1401" s="4" t="str">
        <f>HYPERLINK("https://3g.k.sohu.com/t/n877718102?serialId=4062cd64087d9d37ee8d5b7ea5d2681b&amp;showType=877718102","https://3g.k.sohu.com/t/n877718102?serialId=4062cd64087d9d37ee8d5b7ea5d2681b&amp;showType=877718102")</f>
        <v>https://3g.k.sohu.com/t/n877718102?serialId=4062cd64087d9d37ee8d5b7ea5d2681b&amp;showType=877718102</v>
      </c>
      <c r="I1401" s="3" t="s">
        <v>2042</v>
      </c>
      <c r="J1401" t="s">
        <v>16</v>
      </c>
    </row>
    <row r="1402" ht="23" customHeight="1" spans="1:10">
      <c r="A1402" s="2">
        <v>1401</v>
      </c>
      <c r="B1402" s="3" t="s">
        <v>2035</v>
      </c>
      <c r="C1402" s="2" t="s">
        <v>2041</v>
      </c>
      <c r="D1402" s="2" t="s">
        <v>46</v>
      </c>
      <c r="E1402" s="2" t="s">
        <v>57</v>
      </c>
      <c r="F1402" s="2" t="s">
        <v>13</v>
      </c>
      <c r="G1402" s="2" t="s">
        <v>14</v>
      </c>
      <c r="H1402" s="4" t="str">
        <f>HYPERLINK("https://www.sohu.com/a/879342364_120756848","https://www.sohu.com/a/879342364_120756848")</f>
        <v>https://www.sohu.com/a/879342364_120756848</v>
      </c>
      <c r="I1402" s="3" t="s">
        <v>2042</v>
      </c>
      <c r="J1402" t="s">
        <v>16</v>
      </c>
    </row>
    <row r="1403" ht="23" customHeight="1" spans="1:10">
      <c r="A1403" s="2">
        <v>1402</v>
      </c>
      <c r="B1403" s="3" t="s">
        <v>2035</v>
      </c>
      <c r="C1403" s="2" t="s">
        <v>2041</v>
      </c>
      <c r="D1403" s="2" t="s">
        <v>40</v>
      </c>
      <c r="E1403" s="2" t="s">
        <v>57</v>
      </c>
      <c r="F1403" s="2" t="s">
        <v>13</v>
      </c>
      <c r="G1403" s="2" t="s">
        <v>14</v>
      </c>
      <c r="H1403" s="4" t="str">
        <f>HYPERLINK("https://www.yoojia.com/article/9508432911785052108.html","https://www.yoojia.com/article/9508432911785052108.html")</f>
        <v>https://www.yoojia.com/article/9508432911785052108.html</v>
      </c>
      <c r="I1403" s="3" t="s">
        <v>2042</v>
      </c>
      <c r="J1403" t="s">
        <v>16</v>
      </c>
    </row>
    <row r="1404" ht="23" customHeight="1" spans="1:10">
      <c r="A1404" s="2">
        <v>1403</v>
      </c>
      <c r="B1404" s="3" t="s">
        <v>2035</v>
      </c>
      <c r="C1404" s="2" t="s">
        <v>2041</v>
      </c>
      <c r="D1404" s="2" t="s">
        <v>41</v>
      </c>
      <c r="E1404" s="2" t="s">
        <v>57</v>
      </c>
      <c r="F1404" s="2" t="s">
        <v>13</v>
      </c>
      <c r="G1404" s="2" t="s">
        <v>14</v>
      </c>
      <c r="H1404" s="4" t="str">
        <f>HYPERLINK("https://baijiahao.baidu.com/s?id=1828426451672037906","https://baijiahao.baidu.com/s?id=1828426451672037906")</f>
        <v>https://baijiahao.baidu.com/s?id=1828426451672037906</v>
      </c>
      <c r="I1404" s="3" t="s">
        <v>2042</v>
      </c>
      <c r="J1404" t="s">
        <v>16</v>
      </c>
    </row>
    <row r="1405" ht="23" customHeight="1" spans="1:10">
      <c r="A1405" s="2">
        <v>1404</v>
      </c>
      <c r="B1405" s="3" t="s">
        <v>2043</v>
      </c>
      <c r="C1405" s="2" t="s">
        <v>2044</v>
      </c>
      <c r="D1405" s="2" t="s">
        <v>11</v>
      </c>
      <c r="E1405" s="2" t="s">
        <v>57</v>
      </c>
      <c r="F1405" s="2" t="s">
        <v>13</v>
      </c>
      <c r="G1405" s="2" t="s">
        <v>14</v>
      </c>
      <c r="H1405" s="4" t="str">
        <f>HYPERLINK("https://www.toutiao.com/article/7488962162870862363/","https://www.toutiao.com/article/7488962162870862363/")</f>
        <v>https://www.toutiao.com/article/7488962162870862363/</v>
      </c>
      <c r="I1405" s="3" t="s">
        <v>2038</v>
      </c>
      <c r="J1405" t="s">
        <v>16</v>
      </c>
    </row>
    <row r="1406" ht="23" customHeight="1" spans="1:10">
      <c r="A1406" s="2">
        <v>1405</v>
      </c>
      <c r="B1406" s="3" t="s">
        <v>2045</v>
      </c>
      <c r="C1406" s="2" t="s">
        <v>2046</v>
      </c>
      <c r="D1406" s="2" t="s">
        <v>1546</v>
      </c>
      <c r="E1406" s="2" t="s">
        <v>1546</v>
      </c>
      <c r="F1406" s="2" t="s">
        <v>37</v>
      </c>
      <c r="G1406" s="2" t="s">
        <v>21</v>
      </c>
      <c r="H1406" s="4" t="str">
        <f>HYPERLINK("https://h5.jp.cjn.cn/#/h5/news?informationId=4623156","https://h5.jp.cjn.cn/#/h5/news?informationId=4623156")</f>
        <v>https://h5.jp.cjn.cn/#/h5/news?informationId=4623156</v>
      </c>
      <c r="I1406" s="3" t="s">
        <v>2010</v>
      </c>
      <c r="J1406" t="s">
        <v>16</v>
      </c>
    </row>
    <row r="1407" ht="23" customHeight="1" spans="1:10">
      <c r="A1407" s="2">
        <v>1406</v>
      </c>
      <c r="B1407" s="3" t="s">
        <v>2045</v>
      </c>
      <c r="C1407" s="2" t="s">
        <v>2047</v>
      </c>
      <c r="D1407" s="2" t="s">
        <v>2048</v>
      </c>
      <c r="E1407" s="2" t="s">
        <v>2049</v>
      </c>
      <c r="F1407" s="2" t="s">
        <v>13</v>
      </c>
      <c r="G1407" s="2" t="s">
        <v>26</v>
      </c>
      <c r="H1407" s="4" t="str">
        <f>HYPERLINK("https://www.9kd.com/note/9090600","https://www.9kd.com/note/9090600")</f>
        <v>https://www.9kd.com/note/9090600</v>
      </c>
      <c r="I1407" s="3" t="s">
        <v>2010</v>
      </c>
      <c r="J1407" t="s">
        <v>16</v>
      </c>
    </row>
    <row r="1408" ht="23" customHeight="1" spans="1:10">
      <c r="A1408" s="2">
        <v>1407</v>
      </c>
      <c r="B1408" s="3" t="s">
        <v>2045</v>
      </c>
      <c r="C1408" s="2" t="s">
        <v>2050</v>
      </c>
      <c r="D1408" s="2" t="s">
        <v>2009</v>
      </c>
      <c r="E1408" s="2" t="s">
        <v>2009</v>
      </c>
      <c r="F1408" s="2" t="s">
        <v>13</v>
      </c>
      <c r="G1408" s="2" t="s">
        <v>26</v>
      </c>
      <c r="H1408" s="4" t="str">
        <f>HYPERLINK("http://www.025002.com/news/67690.cshtml","http://www.025002.com/news/67690.cshtml")</f>
        <v>http://www.025002.com/news/67690.cshtml</v>
      </c>
      <c r="I1408" s="3" t="s">
        <v>2010</v>
      </c>
      <c r="J1408" t="s">
        <v>16</v>
      </c>
    </row>
    <row r="1409" ht="23" customHeight="1" spans="1:10">
      <c r="A1409" s="2">
        <v>1408</v>
      </c>
      <c r="B1409" s="3" t="s">
        <v>2051</v>
      </c>
      <c r="C1409" s="2" t="s">
        <v>2052</v>
      </c>
      <c r="D1409" s="2" t="s">
        <v>375</v>
      </c>
      <c r="E1409" s="2" t="s">
        <v>375</v>
      </c>
      <c r="F1409" s="2" t="s">
        <v>13</v>
      </c>
      <c r="G1409" s="2" t="s">
        <v>21</v>
      </c>
      <c r="H1409" s="4" t="str">
        <f>HYPERLINK("http://ah.anhuinews.com/gdxw/202503/t20250328_8357537.html","http://ah.anhuinews.com/gdxw/202503/t20250328_8357537.html")</f>
        <v>http://ah.anhuinews.com/gdxw/202503/t20250328_8357537.html</v>
      </c>
      <c r="I1409" s="3" t="s">
        <v>2053</v>
      </c>
      <c r="J1409" t="s">
        <v>16</v>
      </c>
    </row>
    <row r="1410" ht="23" customHeight="1" spans="1:10">
      <c r="A1410" s="2">
        <v>1409</v>
      </c>
      <c r="B1410" s="3" t="s">
        <v>2054</v>
      </c>
      <c r="C1410" s="2" t="s">
        <v>2055</v>
      </c>
      <c r="D1410" s="2" t="s">
        <v>71</v>
      </c>
      <c r="E1410" s="2" t="s">
        <v>71</v>
      </c>
      <c r="F1410" s="2" t="s">
        <v>13</v>
      </c>
      <c r="G1410" s="2" t="s">
        <v>21</v>
      </c>
      <c r="H1410" s="4" t="str">
        <f>HYPERLINK("http://qiye.eastday.com/n34/u1ai1335748.html","http://qiye.eastday.com/n34/u1ai1335748.html")</f>
        <v>http://qiye.eastday.com/n34/u1ai1335748.html</v>
      </c>
      <c r="I1410" s="3" t="s">
        <v>2056</v>
      </c>
      <c r="J1410" t="s">
        <v>16</v>
      </c>
    </row>
    <row r="1411" ht="23" customHeight="1" spans="1:10">
      <c r="A1411" s="2">
        <v>1410</v>
      </c>
      <c r="B1411" s="3" t="s">
        <v>2057</v>
      </c>
      <c r="C1411" s="2" t="s">
        <v>2058</v>
      </c>
      <c r="D1411" s="2" t="s">
        <v>1801</v>
      </c>
      <c r="E1411" s="2" t="s">
        <v>1622</v>
      </c>
      <c r="F1411" s="2" t="s">
        <v>37</v>
      </c>
      <c r="G1411" s="2" t="s">
        <v>26</v>
      </c>
      <c r="H1411" s="4" t="str">
        <f>HYPERLINK("https://news.baidu.com/app/articles/10127353101023434285","https://news.baidu.com/app/articles/10127353101023434285")</f>
        <v>https://news.baidu.com/app/articles/10127353101023434285</v>
      </c>
      <c r="I1411" s="3" t="s">
        <v>2059</v>
      </c>
      <c r="J1411" t="s">
        <v>16</v>
      </c>
    </row>
    <row r="1412" ht="23" customHeight="1" spans="1:10">
      <c r="A1412" s="2">
        <v>1411</v>
      </c>
      <c r="B1412" s="3" t="s">
        <v>2057</v>
      </c>
      <c r="C1412" s="2" t="s">
        <v>2060</v>
      </c>
      <c r="D1412" s="2" t="s">
        <v>41</v>
      </c>
      <c r="E1412" s="2" t="s">
        <v>1622</v>
      </c>
      <c r="F1412" s="2" t="s">
        <v>13</v>
      </c>
      <c r="G1412" s="2" t="s">
        <v>21</v>
      </c>
      <c r="H1412" s="4" t="str">
        <f>HYPERLINK("https://mbd.baidu.com/newspage/data/dtlandingwise?nid=dt_10127353101023434285","https://mbd.baidu.com/newspage/data/dtlandingwise?nid=dt_10127353101023434285")</f>
        <v>https://mbd.baidu.com/newspage/data/dtlandingwise?nid=dt_10127353101023434285</v>
      </c>
      <c r="I1412" s="3" t="s">
        <v>2061</v>
      </c>
      <c r="J1412" t="s">
        <v>16</v>
      </c>
    </row>
    <row r="1413" ht="23" customHeight="1" spans="1:10">
      <c r="A1413" s="2">
        <v>1412</v>
      </c>
      <c r="B1413" s="3" t="s">
        <v>2057</v>
      </c>
      <c r="C1413" s="2" t="s">
        <v>2062</v>
      </c>
      <c r="D1413" s="2" t="s">
        <v>41</v>
      </c>
      <c r="E1413" s="2" t="s">
        <v>1622</v>
      </c>
      <c r="F1413" s="2" t="s">
        <v>13</v>
      </c>
      <c r="G1413" s="2" t="s">
        <v>21</v>
      </c>
      <c r="H1413" s="4" t="str">
        <f>HYPERLINK("https://baijiahao.baidu.com/s?id=1827818447077003869","https://baijiahao.baidu.com/s?id=1827818447077003869")</f>
        <v>https://baijiahao.baidu.com/s?id=1827818447077003869</v>
      </c>
      <c r="I1413" s="3" t="s">
        <v>2059</v>
      </c>
      <c r="J1413" t="s">
        <v>16</v>
      </c>
    </row>
    <row r="1414" ht="23" customHeight="1" spans="1:10">
      <c r="A1414" s="2">
        <v>1413</v>
      </c>
      <c r="B1414" s="3" t="s">
        <v>2063</v>
      </c>
      <c r="C1414" s="2" t="s">
        <v>2064</v>
      </c>
      <c r="D1414" s="2" t="s">
        <v>11</v>
      </c>
      <c r="E1414" s="2" t="s">
        <v>2065</v>
      </c>
      <c r="F1414" s="2" t="s">
        <v>13</v>
      </c>
      <c r="G1414" s="2" t="s">
        <v>26</v>
      </c>
      <c r="H1414" s="4" t="str">
        <f>HYPERLINK("https://www.toutiao.com/article/7486735415488102927/","https://www.toutiao.com/article/7486735415488102927/")</f>
        <v>https://www.toutiao.com/article/7486735415488102927/</v>
      </c>
      <c r="I1414" s="3" t="s">
        <v>2056</v>
      </c>
      <c r="J1414" t="s">
        <v>16</v>
      </c>
    </row>
    <row r="1415" ht="23" customHeight="1" spans="1:10">
      <c r="A1415" s="2">
        <v>1414</v>
      </c>
      <c r="B1415" s="3" t="s">
        <v>2063</v>
      </c>
      <c r="C1415" s="2" t="s">
        <v>2066</v>
      </c>
      <c r="D1415" s="2" t="s">
        <v>2067</v>
      </c>
      <c r="E1415" s="2" t="s">
        <v>2067</v>
      </c>
      <c r="F1415" s="2" t="s">
        <v>13</v>
      </c>
      <c r="G1415" s="2" t="s">
        <v>201</v>
      </c>
      <c r="H1415" s="4" t="str">
        <f>HYPERLINK("http://www.newhua.com/2025/0328/378707.shtml","http://www.newhua.com/2025/0328/378707.shtml")</f>
        <v>http://www.newhua.com/2025/0328/378707.shtml</v>
      </c>
      <c r="I1415" s="3" t="s">
        <v>2056</v>
      </c>
      <c r="J1415" t="s">
        <v>16</v>
      </c>
    </row>
    <row r="1416" ht="23" customHeight="1" spans="1:10">
      <c r="A1416" s="2">
        <v>1415</v>
      </c>
      <c r="B1416" s="3" t="s">
        <v>2057</v>
      </c>
      <c r="C1416" s="2" t="s">
        <v>2068</v>
      </c>
      <c r="D1416" s="2" t="s">
        <v>68</v>
      </c>
      <c r="E1416" s="2" t="s">
        <v>68</v>
      </c>
      <c r="F1416" s="2" t="s">
        <v>13</v>
      </c>
      <c r="G1416" s="2" t="s">
        <v>26</v>
      </c>
      <c r="H1416" s="4" t="str">
        <f>HYPERLINK("https://tech.china.com/articles/20250327/202503271653509.html","https://tech.china.com/articles/20250327/202503271653509.html")</f>
        <v>https://tech.china.com/articles/20250327/202503271653509.html</v>
      </c>
      <c r="I1416" s="3" t="s">
        <v>2056</v>
      </c>
      <c r="J1416" t="s">
        <v>16</v>
      </c>
    </row>
    <row r="1417" ht="23" customHeight="1" spans="1:10">
      <c r="A1417" s="2">
        <v>1416</v>
      </c>
      <c r="B1417" s="3" t="s">
        <v>2069</v>
      </c>
      <c r="C1417" s="2" t="s">
        <v>2070</v>
      </c>
      <c r="D1417" s="2" t="s">
        <v>34</v>
      </c>
      <c r="E1417" s="2" t="s">
        <v>2071</v>
      </c>
      <c r="F1417" s="2" t="s">
        <v>13</v>
      </c>
      <c r="G1417" s="2" t="s">
        <v>83</v>
      </c>
      <c r="H1417" s="4" t="str">
        <f>HYPERLINK("https://kandianshare.html5.qq.com/v2/news/8875746697861278018","https://kandianshare.html5.qq.com/v2/news/8875746697861278018")</f>
        <v>https://kandianshare.html5.qq.com/v2/news/8875746697861278018</v>
      </c>
      <c r="I1417" s="3" t="s">
        <v>2056</v>
      </c>
      <c r="J1417" t="s">
        <v>16</v>
      </c>
    </row>
    <row r="1418" ht="23" customHeight="1" spans="1:10">
      <c r="A1418" s="2">
        <v>1417</v>
      </c>
      <c r="B1418" s="3" t="s">
        <v>2057</v>
      </c>
      <c r="C1418" s="2" t="s">
        <v>2072</v>
      </c>
      <c r="D1418" s="2" t="s">
        <v>2073</v>
      </c>
      <c r="E1418" s="2" t="s">
        <v>2073</v>
      </c>
      <c r="F1418" s="2" t="s">
        <v>13</v>
      </c>
      <c r="G1418" s="2" t="s">
        <v>2074</v>
      </c>
      <c r="H1418" s="4" t="str">
        <f>HYPERLINK("https://www.citreport.com/news/197241-1.html","https://www.citreport.com/news/197241-1.html")</f>
        <v>https://www.citreport.com/news/197241-1.html</v>
      </c>
      <c r="I1418" s="3" t="s">
        <v>2075</v>
      </c>
      <c r="J1418" t="s">
        <v>16</v>
      </c>
    </row>
    <row r="1419" ht="23" customHeight="1" spans="1:10">
      <c r="A1419" s="2">
        <v>1418</v>
      </c>
      <c r="B1419" s="3" t="s">
        <v>2076</v>
      </c>
      <c r="C1419" s="2" t="s">
        <v>2077</v>
      </c>
      <c r="D1419" s="2" t="s">
        <v>107</v>
      </c>
      <c r="E1419" s="2" t="s">
        <v>87</v>
      </c>
      <c r="F1419" s="2" t="s">
        <v>13</v>
      </c>
      <c r="G1419" s="2" t="s">
        <v>26</v>
      </c>
      <c r="H1419" s="4" t="str">
        <f>HYPERLINK("https://k.sina.cn/article_6824573189_196c6b905020026nrk.html","https://k.sina.cn/article_6824573189_196c6b905020026nrk.html")</f>
        <v>https://k.sina.cn/article_6824573189_196c6b905020026nrk.html</v>
      </c>
      <c r="I1419" s="3" t="s">
        <v>2078</v>
      </c>
      <c r="J1419" t="s">
        <v>16</v>
      </c>
    </row>
    <row r="1420" ht="23" customHeight="1" spans="1:10">
      <c r="A1420" s="2">
        <v>1419</v>
      </c>
      <c r="B1420" s="3" t="s">
        <v>2076</v>
      </c>
      <c r="C1420" s="2" t="s">
        <v>2077</v>
      </c>
      <c r="D1420" s="2" t="s">
        <v>1251</v>
      </c>
      <c r="E1420" s="2" t="s">
        <v>2079</v>
      </c>
      <c r="F1420" s="2" t="s">
        <v>37</v>
      </c>
      <c r="G1420" s="2" t="s">
        <v>26</v>
      </c>
      <c r="H1420" s="4" t="str">
        <f>HYPERLINK("http://m.uczzd.cn/ucnews/news?aid=4252422492170589823","http://m.uczzd.cn/ucnews/news?aid=4252422492170589823")</f>
        <v>http://m.uczzd.cn/ucnews/news?aid=4252422492170589823</v>
      </c>
      <c r="I1420" s="3" t="s">
        <v>2078</v>
      </c>
      <c r="J1420" t="s">
        <v>16</v>
      </c>
    </row>
    <row r="1421" ht="23" customHeight="1" spans="1:10">
      <c r="A1421" s="2">
        <v>1420</v>
      </c>
      <c r="B1421" s="3" t="s">
        <v>2076</v>
      </c>
      <c r="C1421" s="2" t="s">
        <v>2080</v>
      </c>
      <c r="D1421" s="2" t="s">
        <v>41</v>
      </c>
      <c r="E1421" s="2" t="s">
        <v>87</v>
      </c>
      <c r="F1421" s="2" t="s">
        <v>13</v>
      </c>
      <c r="G1421" s="2" t="s">
        <v>26</v>
      </c>
      <c r="H1421" s="4" t="str">
        <f>HYPERLINK("https://baijiahao.baidu.com/s?id=1827645462227990757","https://baijiahao.baidu.com/s?id=1827645462227990757")</f>
        <v>https://baijiahao.baidu.com/s?id=1827645462227990757</v>
      </c>
      <c r="I1421" s="3" t="s">
        <v>2081</v>
      </c>
      <c r="J1421" t="s">
        <v>16</v>
      </c>
    </row>
    <row r="1422" ht="23" customHeight="1" spans="1:10">
      <c r="A1422" s="2">
        <v>1421</v>
      </c>
      <c r="B1422" s="3" t="s">
        <v>2076</v>
      </c>
      <c r="C1422" s="2" t="s">
        <v>2080</v>
      </c>
      <c r="D1422" s="2" t="s">
        <v>95</v>
      </c>
      <c r="E1422" s="2" t="s">
        <v>95</v>
      </c>
      <c r="F1422" s="2" t="s">
        <v>13</v>
      </c>
      <c r="G1422" s="2" t="s">
        <v>14</v>
      </c>
      <c r="H1422" s="4" t="str">
        <f>HYPERLINK("http://ah.people.com.cn/n2/2025/0326/c374164-41176538.html","http://ah.people.com.cn/n2/2025/0326/c374164-41176538.html")</f>
        <v>http://ah.people.com.cn/n2/2025/0326/c374164-41176538.html</v>
      </c>
      <c r="I1422" s="3" t="s">
        <v>2081</v>
      </c>
      <c r="J1422" t="s">
        <v>16</v>
      </c>
    </row>
    <row r="1423" ht="23" customHeight="1" spans="1:10">
      <c r="A1423" s="2">
        <v>1422</v>
      </c>
      <c r="B1423" s="3" t="s">
        <v>2076</v>
      </c>
      <c r="C1423" s="2" t="s">
        <v>2080</v>
      </c>
      <c r="D1423" s="2" t="s">
        <v>95</v>
      </c>
      <c r="E1423" s="2" t="s">
        <v>95</v>
      </c>
      <c r="F1423" s="2" t="s">
        <v>13</v>
      </c>
      <c r="G1423" s="2" t="s">
        <v>14</v>
      </c>
      <c r="H1423" s="4" t="str">
        <f>HYPERLINK("http://ah.people.com.cn/BIG5/n2/2025/0326/c374164-41176538.html","http://ah.people.com.cn/BIG5/n2/2025/0326/c374164-41176538.html")</f>
        <v>http://ah.people.com.cn/BIG5/n2/2025/0326/c374164-41176538.html</v>
      </c>
      <c r="I1423" s="3" t="s">
        <v>2082</v>
      </c>
      <c r="J1423" t="s">
        <v>16</v>
      </c>
    </row>
    <row r="1424" ht="23" customHeight="1" spans="1:10">
      <c r="A1424" s="2">
        <v>1423</v>
      </c>
      <c r="B1424" s="3" t="s">
        <v>2054</v>
      </c>
      <c r="C1424" s="2" t="s">
        <v>2083</v>
      </c>
      <c r="D1424" s="2" t="s">
        <v>1071</v>
      </c>
      <c r="E1424" s="2" t="s">
        <v>1071</v>
      </c>
      <c r="F1424" s="2" t="s">
        <v>13</v>
      </c>
      <c r="G1424" s="2" t="s">
        <v>201</v>
      </c>
      <c r="H1424" s="4" t="str">
        <f>HYPERLINK("http://www.chinaedunet.com/huodong/zxhd/2025/3/content_250927.shtml","http://www.chinaedunet.com/huodong/zxhd/2025/3/content_250927.shtml")</f>
        <v>http://www.chinaedunet.com/huodong/zxhd/2025/3/content_250927.shtml</v>
      </c>
      <c r="I1424" s="3" t="s">
        <v>2056</v>
      </c>
      <c r="J1424" t="s">
        <v>16</v>
      </c>
    </row>
    <row r="1425" ht="23" customHeight="1" spans="1:10">
      <c r="A1425" s="2">
        <v>1424</v>
      </c>
      <c r="B1425" s="3" t="s">
        <v>2084</v>
      </c>
      <c r="C1425" s="2" t="s">
        <v>2085</v>
      </c>
      <c r="D1425" s="2" t="s">
        <v>46</v>
      </c>
      <c r="E1425" s="2" t="s">
        <v>2086</v>
      </c>
      <c r="F1425" s="2" t="s">
        <v>37</v>
      </c>
      <c r="G1425" s="2" t="s">
        <v>26</v>
      </c>
      <c r="H1425" s="4" t="str">
        <f>HYPERLINK("https://3g.k.sohu.com/t/n873755337?serialId=046ea8662839af180b1d70adfe52aff5&amp;showType=873755337","https://3g.k.sohu.com/t/n873755337?serialId=046ea8662839af180b1d70adfe52aff5&amp;showType=873755337")</f>
        <v>https://3g.k.sohu.com/t/n873755337?serialId=046ea8662839af180b1d70adfe52aff5&amp;showType=873755337</v>
      </c>
      <c r="I1425" s="3" t="s">
        <v>2087</v>
      </c>
      <c r="J1425" t="s">
        <v>16</v>
      </c>
    </row>
    <row r="1426" ht="23" customHeight="1" spans="1:10">
      <c r="A1426" s="2">
        <v>1425</v>
      </c>
      <c r="B1426" s="3" t="s">
        <v>2088</v>
      </c>
      <c r="C1426" s="2" t="s">
        <v>2089</v>
      </c>
      <c r="D1426" s="2" t="s">
        <v>91</v>
      </c>
      <c r="E1426" s="2" t="s">
        <v>1536</v>
      </c>
      <c r="F1426" s="2" t="s">
        <v>91</v>
      </c>
      <c r="G1426" s="2" t="s">
        <v>21</v>
      </c>
      <c r="H1426" s="4" t="str">
        <f>HYPERLINK("http://mp.weixin.qq.com/s?__biz=MzA4ODk3NTcxMQ==&amp;mid=2650309717&amp;idx=2&amp;sn=4c0e7c8494cb3b565681cd143336d83e","http://mp.weixin.qq.com/s?__biz=MzA4ODk3NTcxMQ==&amp;mid=2650309717&amp;idx=2&amp;sn=4c0e7c8494cb3b565681cd143336d83e")</f>
        <v>http://mp.weixin.qq.com/s?__biz=MzA4ODk3NTcxMQ==&amp;mid=2650309717&amp;idx=2&amp;sn=4c0e7c8494cb3b565681cd143336d83e</v>
      </c>
      <c r="I1426" s="3" t="s">
        <v>2090</v>
      </c>
      <c r="J1426" t="s">
        <v>16</v>
      </c>
    </row>
    <row r="1427" ht="23" customHeight="1" spans="1:10">
      <c r="A1427" s="2">
        <v>1426</v>
      </c>
      <c r="B1427" s="3" t="s">
        <v>2091</v>
      </c>
      <c r="C1427" s="2" t="s">
        <v>2092</v>
      </c>
      <c r="D1427" s="2" t="s">
        <v>41</v>
      </c>
      <c r="E1427" s="2" t="s">
        <v>126</v>
      </c>
      <c r="F1427" s="2" t="s">
        <v>13</v>
      </c>
      <c r="G1427" s="2" t="s">
        <v>21</v>
      </c>
      <c r="H1427" s="4" t="str">
        <f>HYPERLINK("https://baijiahao.baidu.com/s?id=1826960353751951346","https://baijiahao.baidu.com/s?id=1826960353751951346")</f>
        <v>https://baijiahao.baidu.com/s?id=1826960353751951346</v>
      </c>
      <c r="I1427" s="3" t="s">
        <v>2093</v>
      </c>
      <c r="J1427" t="s">
        <v>16</v>
      </c>
    </row>
    <row r="1428" ht="23" customHeight="1" spans="1:10">
      <c r="A1428" s="2">
        <v>1427</v>
      </c>
      <c r="B1428" s="3" t="s">
        <v>2094</v>
      </c>
      <c r="C1428" s="2" t="s">
        <v>2095</v>
      </c>
      <c r="D1428" s="2" t="s">
        <v>19</v>
      </c>
      <c r="E1428" s="2" t="s">
        <v>20</v>
      </c>
      <c r="F1428" s="2" t="s">
        <v>37</v>
      </c>
      <c r="G1428" s="2" t="s">
        <v>21</v>
      </c>
      <c r="H1428" s="4" t="str">
        <f>HYPERLINK("https://c.m.163.com/news/a/JQV54ARS055040N3.html","https://c.m.163.com/news/a/JQV54ARS055040N3.html")</f>
        <v>https://c.m.163.com/news/a/JQV54ARS055040N3.html</v>
      </c>
      <c r="I1428" s="3" t="s">
        <v>2096</v>
      </c>
      <c r="J1428" t="s">
        <v>16</v>
      </c>
    </row>
    <row r="1429" ht="23" customHeight="1" spans="1:10">
      <c r="A1429" s="2">
        <v>1428</v>
      </c>
      <c r="B1429" s="3" t="s">
        <v>2097</v>
      </c>
      <c r="C1429" s="2" t="s">
        <v>2098</v>
      </c>
      <c r="D1429" s="2" t="s">
        <v>41</v>
      </c>
      <c r="E1429" s="2" t="s">
        <v>20</v>
      </c>
      <c r="F1429" s="2" t="s">
        <v>13</v>
      </c>
      <c r="G1429" s="2" t="s">
        <v>21</v>
      </c>
      <c r="H1429" s="4" t="str">
        <f>HYPERLINK("https://baijiahao.baidu.com/s?id=1826931291093982680","https://baijiahao.baidu.com/s?id=1826931291093982680")</f>
        <v>https://baijiahao.baidu.com/s?id=1826931291093982680</v>
      </c>
      <c r="I1429" s="3" t="s">
        <v>2096</v>
      </c>
      <c r="J1429" t="s">
        <v>16</v>
      </c>
    </row>
    <row r="1430" ht="23" customHeight="1" spans="1:10">
      <c r="A1430" s="2">
        <v>1429</v>
      </c>
      <c r="B1430" s="3" t="s">
        <v>2094</v>
      </c>
      <c r="C1430" s="2" t="s">
        <v>2099</v>
      </c>
      <c r="D1430" s="2" t="s">
        <v>11</v>
      </c>
      <c r="E1430" s="2" t="s">
        <v>20</v>
      </c>
      <c r="F1430" s="2" t="s">
        <v>13</v>
      </c>
      <c r="G1430" s="2" t="s">
        <v>21</v>
      </c>
      <c r="H1430" s="4" t="str">
        <f>HYPERLINK("https://www.toutiao.com/article/7483102727866696232/","https://www.toutiao.com/article/7483102727866696232/")</f>
        <v>https://www.toutiao.com/article/7483102727866696232/</v>
      </c>
      <c r="I1430" s="3" t="s">
        <v>2096</v>
      </c>
      <c r="J1430" t="s">
        <v>16</v>
      </c>
    </row>
    <row r="1431" ht="23" customHeight="1" spans="1:10">
      <c r="A1431" s="2">
        <v>1430</v>
      </c>
      <c r="B1431" s="3" t="s">
        <v>2100</v>
      </c>
      <c r="C1431" s="2" t="s">
        <v>2101</v>
      </c>
      <c r="D1431" s="2" t="s">
        <v>170</v>
      </c>
      <c r="E1431" s="2" t="s">
        <v>170</v>
      </c>
      <c r="F1431" s="2" t="s">
        <v>37</v>
      </c>
      <c r="G1431" s="2" t="s">
        <v>21</v>
      </c>
      <c r="H1431" s="4" t="str">
        <f>HYPERLINK("https://m.kankanews.com/detail/LMwVG9k8O2z","https://m.kankanews.com/detail/LMwVG9k8O2z")</f>
        <v>https://m.kankanews.com/detail/LMwVG9k8O2z</v>
      </c>
      <c r="I1431" s="3" t="s">
        <v>2102</v>
      </c>
      <c r="J1431" t="s">
        <v>16</v>
      </c>
    </row>
    <row r="1432" ht="23" customHeight="1" spans="1:10">
      <c r="A1432" s="2">
        <v>1431</v>
      </c>
      <c r="B1432" s="3" t="s">
        <v>2103</v>
      </c>
      <c r="C1432" s="2" t="s">
        <v>2104</v>
      </c>
      <c r="D1432" s="2" t="s">
        <v>95</v>
      </c>
      <c r="E1432" s="2" t="s">
        <v>95</v>
      </c>
      <c r="F1432" s="2" t="s">
        <v>13</v>
      </c>
      <c r="G1432" s="2" t="s">
        <v>14</v>
      </c>
      <c r="H1432" s="4" t="str">
        <f>HYPERLINK("http://acftu.people.com.cn/n1/2025/0311/c67502-40436422.html","http://acftu.people.com.cn/n1/2025/0311/c67502-40436422.html")</f>
        <v>http://acftu.people.com.cn/n1/2025/0311/c67502-40436422.html</v>
      </c>
      <c r="I1432" s="3" t="s">
        <v>2105</v>
      </c>
      <c r="J1432" t="s">
        <v>16</v>
      </c>
    </row>
    <row r="1433" ht="23" customHeight="1" spans="1:10">
      <c r="A1433" s="2">
        <v>1432</v>
      </c>
      <c r="B1433" s="3" t="s">
        <v>2103</v>
      </c>
      <c r="C1433" s="2" t="s">
        <v>2104</v>
      </c>
      <c r="D1433" s="2" t="s">
        <v>95</v>
      </c>
      <c r="E1433" s="2" t="s">
        <v>95</v>
      </c>
      <c r="F1433" s="2" t="s">
        <v>13</v>
      </c>
      <c r="G1433" s="2" t="s">
        <v>14</v>
      </c>
      <c r="H1433" s="4" t="str">
        <f>HYPERLINK("http://acftu.people.com.cn/BIG5/n1/2025/0311/c67502-40436422.html","http://acftu.people.com.cn/BIG5/n1/2025/0311/c67502-40436422.html")</f>
        <v>http://acftu.people.com.cn/BIG5/n1/2025/0311/c67502-40436422.html</v>
      </c>
      <c r="I1433" s="3" t="s">
        <v>2106</v>
      </c>
      <c r="J1433" t="s">
        <v>16</v>
      </c>
    </row>
    <row r="1434" ht="23" customHeight="1" spans="1:10">
      <c r="A1434" s="2">
        <v>1433</v>
      </c>
      <c r="B1434" s="3" t="s">
        <v>2107</v>
      </c>
      <c r="C1434" s="2" t="s">
        <v>2104</v>
      </c>
      <c r="D1434" s="2" t="s">
        <v>107</v>
      </c>
      <c r="E1434" s="2" t="s">
        <v>87</v>
      </c>
      <c r="F1434" s="2" t="s">
        <v>13</v>
      </c>
      <c r="G1434" s="2" t="s">
        <v>26</v>
      </c>
      <c r="H1434" s="4" t="str">
        <f>HYPERLINK("https://k.sina.cn/article_6824573189_196c6b9050200261jc.html","https://k.sina.cn/article_6824573189_196c6b9050200261jc.html")</f>
        <v>https://k.sina.cn/article_6824573189_196c6b9050200261jc.html</v>
      </c>
      <c r="I1434" s="3" t="s">
        <v>2108</v>
      </c>
      <c r="J1434" t="s">
        <v>16</v>
      </c>
    </row>
    <row r="1435" ht="23" customHeight="1" spans="1:10">
      <c r="A1435" s="2">
        <v>1434</v>
      </c>
      <c r="B1435" s="3" t="s">
        <v>2109</v>
      </c>
      <c r="C1435" s="2" t="s">
        <v>2104</v>
      </c>
      <c r="D1435" s="2" t="s">
        <v>1251</v>
      </c>
      <c r="E1435" s="2" t="s">
        <v>2079</v>
      </c>
      <c r="F1435" s="2" t="s">
        <v>37</v>
      </c>
      <c r="G1435" s="2" t="s">
        <v>26</v>
      </c>
      <c r="H1435" s="4" t="str">
        <f>HYPERLINK("http://m.uczzd.cn/ucnews/news?aid=8850380860867959436","http://m.uczzd.cn/ucnews/news?aid=8850380860867959436")</f>
        <v>http://m.uczzd.cn/ucnews/news?aid=8850380860867959436</v>
      </c>
      <c r="I1435" s="3" t="s">
        <v>2110</v>
      </c>
      <c r="J1435" t="s">
        <v>16</v>
      </c>
    </row>
    <row r="1436" ht="23" customHeight="1" spans="1:10">
      <c r="A1436" s="2">
        <v>1435</v>
      </c>
      <c r="B1436" s="3" t="s">
        <v>2111</v>
      </c>
      <c r="C1436" s="2" t="s">
        <v>2112</v>
      </c>
      <c r="D1436" s="2" t="s">
        <v>41</v>
      </c>
      <c r="E1436" s="2" t="s">
        <v>87</v>
      </c>
      <c r="F1436" s="2" t="s">
        <v>13</v>
      </c>
      <c r="G1436" s="2" t="s">
        <v>26</v>
      </c>
      <c r="H1436" s="4" t="str">
        <f>HYPERLINK("https://baijiahao.baidu.com/s?id=1826261247126044438","https://baijiahao.baidu.com/s?id=1826261247126044438")</f>
        <v>https://baijiahao.baidu.com/s?id=1826261247126044438</v>
      </c>
      <c r="I1436" s="3" t="s">
        <v>2105</v>
      </c>
      <c r="J1436" t="s">
        <v>16</v>
      </c>
    </row>
    <row r="1437" ht="23" customHeight="1" spans="1:10">
      <c r="A1437" s="2">
        <v>1436</v>
      </c>
      <c r="B1437" s="3" t="s">
        <v>2107</v>
      </c>
      <c r="C1437" s="2" t="s">
        <v>2113</v>
      </c>
      <c r="D1437" s="2" t="s">
        <v>2114</v>
      </c>
      <c r="E1437" s="2" t="s">
        <v>2115</v>
      </c>
      <c r="F1437" s="2" t="s">
        <v>13</v>
      </c>
      <c r="G1437" s="2" t="s">
        <v>21</v>
      </c>
      <c r="H1437" s="4" t="str">
        <f>HYPERLINK("https://www.fjtv.net/folder8718/folder8784/2025-03-11/6525441.html#6525441","https://www.fjtv.net/folder8718/folder8784/2025-03-11/6525441.html#6525441")</f>
        <v>https://www.fjtv.net/folder8718/folder8784/2025-03-11/6525441.html#6525441</v>
      </c>
      <c r="I1437" s="3" t="s">
        <v>2116</v>
      </c>
      <c r="J1437" t="s">
        <v>16</v>
      </c>
    </row>
    <row r="1438" ht="23" customHeight="1" spans="1:10">
      <c r="A1438" s="2">
        <v>1437</v>
      </c>
      <c r="B1438" s="3" t="s">
        <v>2117</v>
      </c>
      <c r="C1438" s="2" t="s">
        <v>2118</v>
      </c>
      <c r="D1438" s="2" t="s">
        <v>19</v>
      </c>
      <c r="E1438" s="2" t="s">
        <v>1769</v>
      </c>
      <c r="F1438" s="2" t="s">
        <v>37</v>
      </c>
      <c r="G1438" s="2" t="s">
        <v>14</v>
      </c>
      <c r="H1438" s="4" t="str">
        <f>HYPERLINK("https://c.m.163.com/news/a/JQBSD7VA0514R9OJ.html","https://c.m.163.com/news/a/JQBSD7VA0514R9OJ.html")</f>
        <v>https://c.m.163.com/news/a/JQBSD7VA0514R9OJ.html</v>
      </c>
      <c r="I1438" s="3" t="s">
        <v>2119</v>
      </c>
      <c r="J1438" t="s">
        <v>16</v>
      </c>
    </row>
    <row r="1439" ht="23" customHeight="1" spans="1:10">
      <c r="A1439" s="2">
        <v>1438</v>
      </c>
      <c r="B1439" s="3" t="s">
        <v>2117</v>
      </c>
      <c r="C1439" s="2" t="s">
        <v>2120</v>
      </c>
      <c r="D1439" s="2" t="s">
        <v>107</v>
      </c>
      <c r="E1439" s="2" t="s">
        <v>211</v>
      </c>
      <c r="F1439" s="2" t="s">
        <v>13</v>
      </c>
      <c r="G1439" s="2" t="s">
        <v>14</v>
      </c>
      <c r="H1439" s="4" t="str">
        <f>HYPERLINK("https://k.sina.cn/article_1686546714_6486a91a02002o5ty.html","https://k.sina.cn/article_1686546714_6486a91a02002o5ty.html")</f>
        <v>https://k.sina.cn/article_1686546714_6486a91a02002o5ty.html</v>
      </c>
      <c r="I1439" s="3" t="s">
        <v>2108</v>
      </c>
      <c r="J1439" t="s">
        <v>16</v>
      </c>
    </row>
    <row r="1440" ht="23" customHeight="1" spans="1:10">
      <c r="A1440" s="2">
        <v>1439</v>
      </c>
      <c r="B1440" s="3" t="s">
        <v>2117</v>
      </c>
      <c r="C1440" s="2" t="s">
        <v>2120</v>
      </c>
      <c r="D1440" s="2" t="s">
        <v>29</v>
      </c>
      <c r="E1440" s="2" t="s">
        <v>211</v>
      </c>
      <c r="F1440" s="2" t="s">
        <v>13</v>
      </c>
      <c r="G1440" s="2" t="s">
        <v>14</v>
      </c>
      <c r="H1440" s="4" t="str">
        <f>HYPERLINK("https://finance.sina.cn/2025-03-11/detail-inepfrax2981740.d.html","https://finance.sina.cn/2025-03-11/detail-inepfrax2981740.d.html")</f>
        <v>https://finance.sina.cn/2025-03-11/detail-inepfrax2981740.d.html</v>
      </c>
      <c r="I1440" s="3" t="s">
        <v>2108</v>
      </c>
      <c r="J1440" t="s">
        <v>16</v>
      </c>
    </row>
    <row r="1441" ht="23" customHeight="1" spans="1:10">
      <c r="A1441" s="2">
        <v>1440</v>
      </c>
      <c r="B1441" s="3" t="s">
        <v>2117</v>
      </c>
      <c r="C1441" s="2" t="s">
        <v>2121</v>
      </c>
      <c r="D1441" s="2" t="s">
        <v>19</v>
      </c>
      <c r="E1441" s="2" t="s">
        <v>1399</v>
      </c>
      <c r="F1441" s="2" t="s">
        <v>37</v>
      </c>
      <c r="G1441" s="2" t="s">
        <v>14</v>
      </c>
      <c r="H1441" s="4" t="str">
        <f>HYPERLINK("https://c.m.163.com/news/a/JQBQVA8J0550TYQ0.html","https://c.m.163.com/news/a/JQBQVA8J0550TYQ0.html")</f>
        <v>https://c.m.163.com/news/a/JQBQVA8J0550TYQ0.html</v>
      </c>
      <c r="I1441" s="3" t="s">
        <v>2108</v>
      </c>
      <c r="J1441" t="s">
        <v>16</v>
      </c>
    </row>
    <row r="1442" ht="23" customHeight="1" spans="1:10">
      <c r="A1442" s="2">
        <v>1441</v>
      </c>
      <c r="B1442" s="3" t="s">
        <v>2117</v>
      </c>
      <c r="C1442" s="2" t="s">
        <v>2122</v>
      </c>
      <c r="D1442" s="2" t="s">
        <v>450</v>
      </c>
      <c r="E1442" s="2" t="s">
        <v>1399</v>
      </c>
      <c r="F1442" s="2" t="s">
        <v>13</v>
      </c>
      <c r="G1442" s="2" t="s">
        <v>14</v>
      </c>
      <c r="H1442" s="4" t="str">
        <f>HYPERLINK("http://a.mp.uc.cn/article.html?uc_param_str=frdnsnpfvecpntnwprdssskt&amp;wm_cid=674460626199784448","http://a.mp.uc.cn/article.html?uc_param_str=frdnsnpfvecpntnwprdssskt&amp;wm_cid=674460626199784448")</f>
        <v>http://a.mp.uc.cn/article.html?uc_param_str=frdnsnpfvecpntnwprdssskt&amp;wm_cid=674460626199784448</v>
      </c>
      <c r="I1442" s="3" t="s">
        <v>2108</v>
      </c>
      <c r="J1442" t="s">
        <v>16</v>
      </c>
    </row>
    <row r="1443" ht="23" customHeight="1" spans="1:10">
      <c r="A1443" s="2">
        <v>1442</v>
      </c>
      <c r="B1443" s="3" t="s">
        <v>2117</v>
      </c>
      <c r="C1443" s="2" t="s">
        <v>2123</v>
      </c>
      <c r="D1443" s="2" t="s">
        <v>46</v>
      </c>
      <c r="E1443" s="2" t="s">
        <v>1399</v>
      </c>
      <c r="F1443" s="2" t="s">
        <v>37</v>
      </c>
      <c r="G1443" s="2" t="s">
        <v>14</v>
      </c>
      <c r="H1443" s="4" t="str">
        <f>HYPERLINK("https://3g.k.sohu.com/t/n870494234?serialId=366d0c73329ac559e8006711dd1685fd&amp;showType=870494234","https://3g.k.sohu.com/t/n870494234?serialId=366d0c73329ac559e8006711dd1685fd&amp;showType=870494234")</f>
        <v>https://3g.k.sohu.com/t/n870494234?serialId=366d0c73329ac559e8006711dd1685fd&amp;showType=870494234</v>
      </c>
      <c r="I1443" s="3" t="s">
        <v>2108</v>
      </c>
      <c r="J1443" t="s">
        <v>16</v>
      </c>
    </row>
    <row r="1444" ht="23" customHeight="1" spans="1:10">
      <c r="A1444" s="2">
        <v>1443</v>
      </c>
      <c r="B1444" s="3" t="s">
        <v>2117</v>
      </c>
      <c r="C1444" s="2" t="s">
        <v>2123</v>
      </c>
      <c r="D1444" s="2" t="s">
        <v>46</v>
      </c>
      <c r="E1444" s="2" t="s">
        <v>1399</v>
      </c>
      <c r="F1444" s="2" t="s">
        <v>13</v>
      </c>
      <c r="G1444" s="2" t="s">
        <v>14</v>
      </c>
      <c r="H1444" s="4" t="str">
        <f>HYPERLINK("https://www.sohu.com/a/869349046_257321","https://www.sohu.com/a/869349046_257321")</f>
        <v>https://www.sohu.com/a/869349046_257321</v>
      </c>
      <c r="I1444" s="3" t="s">
        <v>2105</v>
      </c>
      <c r="J1444" t="s">
        <v>16</v>
      </c>
    </row>
    <row r="1445" ht="23" customHeight="1" spans="1:10">
      <c r="A1445" s="2">
        <v>1444</v>
      </c>
      <c r="B1445" s="3" t="s">
        <v>2124</v>
      </c>
      <c r="C1445" s="2" t="s">
        <v>2125</v>
      </c>
      <c r="D1445" s="2" t="s">
        <v>34</v>
      </c>
      <c r="E1445" s="2" t="s">
        <v>1399</v>
      </c>
      <c r="F1445" s="2" t="s">
        <v>13</v>
      </c>
      <c r="G1445" s="2" t="s">
        <v>14</v>
      </c>
      <c r="H1445" s="4" t="str">
        <f>HYPERLINK("https://kandianshare.html5.qq.com/v2/news/6614936754793890114","https://kandianshare.html5.qq.com/v2/news/6614936754793890114")</f>
        <v>https://kandianshare.html5.qq.com/v2/news/6614936754793890114</v>
      </c>
      <c r="I1445" s="3" t="s">
        <v>2108</v>
      </c>
      <c r="J1445" t="s">
        <v>16</v>
      </c>
    </row>
    <row r="1446" ht="23" customHeight="1" spans="1:10">
      <c r="A1446" s="2">
        <v>1445</v>
      </c>
      <c r="B1446" s="3" t="s">
        <v>2107</v>
      </c>
      <c r="C1446" s="2" t="s">
        <v>2126</v>
      </c>
      <c r="D1446" s="2" t="s">
        <v>1370</v>
      </c>
      <c r="E1446" s="2" t="s">
        <v>2115</v>
      </c>
      <c r="F1446" s="2" t="s">
        <v>37</v>
      </c>
      <c r="G1446" s="2" t="s">
        <v>14</v>
      </c>
      <c r="H1446" s="4" t="str">
        <f>HYPERLINK("http://web.app.workercn.cn/news.html?aid=455055","http://web.app.workercn.cn/news.html?aid=455055")</f>
        <v>http://web.app.workercn.cn/news.html?aid=455055</v>
      </c>
      <c r="I1446" s="3" t="s">
        <v>2127</v>
      </c>
      <c r="J1446" t="s">
        <v>16</v>
      </c>
    </row>
    <row r="1447" ht="23" customHeight="1" spans="1:10">
      <c r="A1447" s="2">
        <v>1446</v>
      </c>
      <c r="B1447" s="3" t="s">
        <v>2117</v>
      </c>
      <c r="C1447" s="2" t="s">
        <v>2128</v>
      </c>
      <c r="D1447" s="2" t="s">
        <v>1399</v>
      </c>
      <c r="E1447" s="2" t="s">
        <v>2129</v>
      </c>
      <c r="F1447" s="2" t="s">
        <v>13</v>
      </c>
      <c r="G1447" s="2" t="s">
        <v>14</v>
      </c>
      <c r="H1447" s="4" t="str">
        <f>HYPERLINK("https://www.workercn.cn/c/2025-03-11/8475635.shtml","https://www.workercn.cn/c/2025-03-11/8475635.shtml")</f>
        <v>https://www.workercn.cn/c/2025-03-11/8475635.shtml</v>
      </c>
      <c r="I1447" s="3" t="s">
        <v>2108</v>
      </c>
      <c r="J1447" t="s">
        <v>16</v>
      </c>
    </row>
    <row r="1448" ht="23" customHeight="1" spans="1:10">
      <c r="A1448" s="2">
        <v>1447</v>
      </c>
      <c r="B1448" s="3" t="s">
        <v>2103</v>
      </c>
      <c r="C1448" s="2" t="s">
        <v>2130</v>
      </c>
      <c r="D1448" s="2" t="s">
        <v>1370</v>
      </c>
      <c r="E1448" s="2" t="s">
        <v>1370</v>
      </c>
      <c r="F1448" s="2" t="s">
        <v>145</v>
      </c>
      <c r="G1448" s="2" t="s">
        <v>14</v>
      </c>
      <c r="H1448" s="4" t="str">
        <f>HYPERLINK("https://www.workercn.cn/papers/grrb/2025/03/11/2/news-6.html","https://www.workercn.cn/papers/grrb/2025/03/11/2/news-6.html")</f>
        <v>https://www.workercn.cn/papers/grrb/2025/03/11/2/news-6.html</v>
      </c>
      <c r="I1448" s="3" t="s">
        <v>2127</v>
      </c>
      <c r="J1448" t="s">
        <v>16</v>
      </c>
    </row>
    <row r="1449" ht="23" customHeight="1" spans="1:10">
      <c r="A1449" s="2">
        <v>1448</v>
      </c>
      <c r="B1449" s="3" t="s">
        <v>2131</v>
      </c>
      <c r="C1449" s="2" t="s">
        <v>2132</v>
      </c>
      <c r="D1449" s="2" t="s">
        <v>41</v>
      </c>
      <c r="E1449" s="2" t="s">
        <v>126</v>
      </c>
      <c r="F1449" s="2" t="s">
        <v>13</v>
      </c>
      <c r="G1449" s="2" t="s">
        <v>21</v>
      </c>
      <c r="H1449" s="4" t="str">
        <f>HYPERLINK("https://baijiahao.baidu.com/s?id=1825820470828063826","https://baijiahao.baidu.com/s?id=1825820470828063826")</f>
        <v>https://baijiahao.baidu.com/s?id=1825820470828063826</v>
      </c>
      <c r="I1449" s="3" t="s">
        <v>2133</v>
      </c>
      <c r="J1449" t="s">
        <v>16</v>
      </c>
    </row>
    <row r="1450" ht="23" customHeight="1" spans="1:10">
      <c r="A1450" s="2">
        <v>1449</v>
      </c>
      <c r="B1450" s="3" t="s">
        <v>2134</v>
      </c>
      <c r="C1450" s="2" t="s">
        <v>2135</v>
      </c>
      <c r="D1450" s="2" t="s">
        <v>440</v>
      </c>
      <c r="E1450" s="2" t="s">
        <v>440</v>
      </c>
      <c r="F1450" s="2" t="s">
        <v>13</v>
      </c>
      <c r="G1450" s="2" t="s">
        <v>441</v>
      </c>
      <c r="H1450" s="4" t="str">
        <f>HYPERLINK("https://edu.online.sh.cn/education/gb/content/2025-03/05/content_10290030.htm","https://edu.online.sh.cn/education/gb/content/2025-03/05/content_10290030.htm")</f>
        <v>https://edu.online.sh.cn/education/gb/content/2025-03/05/content_10290030.htm</v>
      </c>
      <c r="I1450" s="3" t="s">
        <v>2136</v>
      </c>
      <c r="J1450" t="s">
        <v>16</v>
      </c>
    </row>
    <row r="1451" ht="23" customHeight="1" spans="1:10">
      <c r="A1451" s="2">
        <v>1450</v>
      </c>
      <c r="B1451" s="3" t="s">
        <v>2137</v>
      </c>
      <c r="C1451" s="2" t="s">
        <v>2138</v>
      </c>
      <c r="D1451" s="2" t="s">
        <v>19</v>
      </c>
      <c r="E1451" s="2" t="s">
        <v>20</v>
      </c>
      <c r="F1451" s="2" t="s">
        <v>37</v>
      </c>
      <c r="G1451" s="2" t="s">
        <v>21</v>
      </c>
      <c r="H1451" s="4" t="str">
        <f>HYPERLINK("https://c.m.163.com/news/a/JPQHMRG9055040N3.html","https://c.m.163.com/news/a/JPQHMRG9055040N3.html")</f>
        <v>https://c.m.163.com/news/a/JPQHMRG9055040N3.html</v>
      </c>
      <c r="I1451" s="3" t="s">
        <v>2139</v>
      </c>
      <c r="J1451" t="s">
        <v>16</v>
      </c>
    </row>
    <row r="1452" ht="23" customHeight="1" spans="1:10">
      <c r="A1452" s="2">
        <v>1451</v>
      </c>
      <c r="B1452" s="3" t="s">
        <v>2137</v>
      </c>
      <c r="C1452" s="2" t="s">
        <v>2140</v>
      </c>
      <c r="D1452" s="2" t="s">
        <v>11</v>
      </c>
      <c r="E1452" s="2" t="s">
        <v>32</v>
      </c>
      <c r="F1452" s="2" t="s">
        <v>13</v>
      </c>
      <c r="G1452" s="2" t="s">
        <v>21</v>
      </c>
      <c r="H1452" s="4" t="str">
        <f>HYPERLINK("https://www.toutiao.com/article/7477831894730621491/","https://www.toutiao.com/article/7477831894730621491/")</f>
        <v>https://www.toutiao.com/article/7477831894730621491/</v>
      </c>
      <c r="I1452" s="3" t="s">
        <v>2139</v>
      </c>
      <c r="J1452" t="s">
        <v>16</v>
      </c>
    </row>
    <row r="1453" ht="23" customHeight="1" spans="1:10">
      <c r="A1453" s="2">
        <v>1452</v>
      </c>
      <c r="B1453" s="3" t="s">
        <v>2137</v>
      </c>
      <c r="C1453" s="2" t="s">
        <v>2141</v>
      </c>
      <c r="D1453" s="2" t="s">
        <v>34</v>
      </c>
      <c r="E1453" s="2" t="s">
        <v>32</v>
      </c>
      <c r="F1453" s="2" t="s">
        <v>13</v>
      </c>
      <c r="G1453" s="2" t="s">
        <v>21</v>
      </c>
      <c r="H1453" s="4" t="str">
        <f>HYPERLINK("https://kandianshare.html5.qq.com/v2/news/5624143619643908418","https://kandianshare.html5.qq.com/v2/news/5624143619643908418")</f>
        <v>https://kandianshare.html5.qq.com/v2/news/5624143619643908418</v>
      </c>
      <c r="I1453" s="3" t="s">
        <v>2139</v>
      </c>
      <c r="J1453" t="s">
        <v>16</v>
      </c>
    </row>
    <row r="1454" ht="23" customHeight="1" spans="1:10">
      <c r="A1454" s="2">
        <v>1453</v>
      </c>
      <c r="B1454" s="3" t="s">
        <v>2137</v>
      </c>
      <c r="C1454" s="2" t="s">
        <v>2142</v>
      </c>
      <c r="D1454" s="2" t="s">
        <v>34</v>
      </c>
      <c r="E1454" s="2" t="s">
        <v>20</v>
      </c>
      <c r="F1454" s="2" t="s">
        <v>13</v>
      </c>
      <c r="G1454" s="2" t="s">
        <v>21</v>
      </c>
      <c r="H1454" s="4" t="str">
        <f>HYPERLINK("https://kandianshare.html5.qq.com/v2/news/985436002815347010","https://kandianshare.html5.qq.com/v2/news/985436002815347010")</f>
        <v>https://kandianshare.html5.qq.com/v2/news/985436002815347010</v>
      </c>
      <c r="I1454" s="3" t="s">
        <v>2139</v>
      </c>
      <c r="J1454" t="s">
        <v>16</v>
      </c>
    </row>
    <row r="1455" ht="23" customHeight="1" spans="1:10">
      <c r="A1455" s="2">
        <v>1454</v>
      </c>
      <c r="B1455" s="3" t="s">
        <v>2137</v>
      </c>
      <c r="C1455" s="2" t="s">
        <v>2143</v>
      </c>
      <c r="D1455" s="2" t="s">
        <v>11</v>
      </c>
      <c r="E1455" s="2" t="s">
        <v>20</v>
      </c>
      <c r="F1455" s="2" t="s">
        <v>13</v>
      </c>
      <c r="G1455" s="2" t="s">
        <v>21</v>
      </c>
      <c r="H1455" s="4" t="str">
        <f>HYPERLINK("https://www.toutiao.com/article/7477828980553368101/","https://www.toutiao.com/article/7477828980553368101/")</f>
        <v>https://www.toutiao.com/article/7477828980553368101/</v>
      </c>
      <c r="I1455" s="3" t="s">
        <v>2139</v>
      </c>
      <c r="J1455" t="s">
        <v>16</v>
      </c>
    </row>
    <row r="1456" ht="23" customHeight="1" spans="1:10">
      <c r="A1456" s="2">
        <v>1455</v>
      </c>
      <c r="B1456" s="3" t="s">
        <v>2137</v>
      </c>
      <c r="C1456" s="2" t="s">
        <v>2144</v>
      </c>
      <c r="D1456" s="2" t="s">
        <v>43</v>
      </c>
      <c r="E1456" s="2" t="s">
        <v>1797</v>
      </c>
      <c r="F1456" s="2" t="s">
        <v>13</v>
      </c>
      <c r="G1456" s="2" t="s">
        <v>21</v>
      </c>
      <c r="H1456" s="4" t="str">
        <f>HYPERLINK("https://www.jfdaily.com.cn/staticsg/res/html/web/newsDetail.html?id=869444","https://www.jfdaily.com.cn/staticsg/res/html/web/newsDetail.html?id=869444")</f>
        <v>https://www.jfdaily.com.cn/staticsg/res/html/web/newsDetail.html?id=869444</v>
      </c>
      <c r="I1456" s="3" t="s">
        <v>2139</v>
      </c>
      <c r="J1456" t="s">
        <v>16</v>
      </c>
    </row>
    <row r="1457" ht="23" customHeight="1" spans="1:10">
      <c r="A1457" s="2">
        <v>1456</v>
      </c>
      <c r="B1457" s="3" t="s">
        <v>2137</v>
      </c>
      <c r="C1457" s="2" t="s">
        <v>2144</v>
      </c>
      <c r="D1457" s="2" t="s">
        <v>29</v>
      </c>
      <c r="E1457" s="2" t="s">
        <v>20</v>
      </c>
      <c r="F1457" s="2" t="s">
        <v>13</v>
      </c>
      <c r="G1457" s="2" t="s">
        <v>21</v>
      </c>
      <c r="H1457" s="4" t="str">
        <f>HYPERLINK("https://finance.sina.cn/2025-03-04/detail-inennkcm9919963.d.html","https://finance.sina.cn/2025-03-04/detail-inennkcm9919963.d.html")</f>
        <v>https://finance.sina.cn/2025-03-04/detail-inennkcm9919963.d.html</v>
      </c>
      <c r="I1457" s="3" t="s">
        <v>2139</v>
      </c>
      <c r="J1457" t="s">
        <v>16</v>
      </c>
    </row>
    <row r="1458" ht="23" customHeight="1" spans="1:10">
      <c r="A1458" s="2">
        <v>1457</v>
      </c>
      <c r="B1458" s="3" t="s">
        <v>2137</v>
      </c>
      <c r="C1458" s="2" t="s">
        <v>2145</v>
      </c>
      <c r="D1458" s="2" t="s">
        <v>43</v>
      </c>
      <c r="E1458" s="2" t="s">
        <v>43</v>
      </c>
      <c r="F1458" s="2" t="s">
        <v>37</v>
      </c>
      <c r="G1458" s="2" t="s">
        <v>21</v>
      </c>
      <c r="H1458" s="4" t="str">
        <f>HYPERLINK("https://export.shobserver.com/baijiahao/html/869444.html","https://export.shobserver.com/baijiahao/html/869444.html")</f>
        <v>https://export.shobserver.com/baijiahao/html/869444.html</v>
      </c>
      <c r="I1458" s="3" t="s">
        <v>2139</v>
      </c>
      <c r="J1458" t="s">
        <v>16</v>
      </c>
    </row>
    <row r="1459" ht="23" customHeight="1" spans="1:10">
      <c r="A1459" s="2">
        <v>1458</v>
      </c>
      <c r="B1459" s="3" t="s">
        <v>2137</v>
      </c>
      <c r="C1459" s="2" t="s">
        <v>2145</v>
      </c>
      <c r="D1459" s="2" t="s">
        <v>46</v>
      </c>
      <c r="E1459" s="2" t="s">
        <v>32</v>
      </c>
      <c r="F1459" s="2" t="s">
        <v>13</v>
      </c>
      <c r="G1459" s="2" t="s">
        <v>21</v>
      </c>
      <c r="H1459" s="4" t="str">
        <f>HYPERLINK("https://www.sohu.com/a/866663436_121286085","https://www.sohu.com/a/866663436_121286085")</f>
        <v>https://www.sohu.com/a/866663436_121286085</v>
      </c>
      <c r="I1459" s="3" t="s">
        <v>2139</v>
      </c>
      <c r="J1459" t="s">
        <v>16</v>
      </c>
    </row>
    <row r="1460" ht="23" customHeight="1" spans="1:10">
      <c r="A1460" s="2">
        <v>1459</v>
      </c>
      <c r="B1460" s="3" t="s">
        <v>2137</v>
      </c>
      <c r="C1460" s="2" t="s">
        <v>2145</v>
      </c>
      <c r="D1460" s="2" t="s">
        <v>41</v>
      </c>
      <c r="E1460" s="2" t="s">
        <v>20</v>
      </c>
      <c r="F1460" s="2" t="s">
        <v>13</v>
      </c>
      <c r="G1460" s="2" t="s">
        <v>21</v>
      </c>
      <c r="H1460" s="4" t="str">
        <f>HYPERLINK("https://baijiahao.baidu.com/s?id=1825641844145129146","https://baijiahao.baidu.com/s?id=1825641844145129146")</f>
        <v>https://baijiahao.baidu.com/s?id=1825641844145129146</v>
      </c>
      <c r="I1460" s="3" t="s">
        <v>2139</v>
      </c>
      <c r="J1460" t="s">
        <v>16</v>
      </c>
    </row>
    <row r="1461" ht="23" customHeight="1" spans="1:10">
      <c r="A1461" s="2">
        <v>1460</v>
      </c>
      <c r="B1461" s="3" t="s">
        <v>2137</v>
      </c>
      <c r="C1461" s="2" t="s">
        <v>2145</v>
      </c>
      <c r="D1461" s="2" t="s">
        <v>46</v>
      </c>
      <c r="E1461" s="2" t="s">
        <v>32</v>
      </c>
      <c r="F1461" s="2" t="s">
        <v>37</v>
      </c>
      <c r="G1461" s="2" t="s">
        <v>21</v>
      </c>
      <c r="H1461" s="4" t="str">
        <f>HYPERLINK("https://3g.k.sohu.com/t/n868409958?serialId=6c8eecc8d94308f67bab3ef923968e51&amp;showType=868409958","https://3g.k.sohu.com/t/n868409958?serialId=6c8eecc8d94308f67bab3ef923968e51&amp;showType=868409958")</f>
        <v>https://3g.k.sohu.com/t/n868409958?serialId=6c8eecc8d94308f67bab3ef923968e51&amp;showType=868409958</v>
      </c>
      <c r="I1461" s="3" t="s">
        <v>2139</v>
      </c>
      <c r="J1461" t="s">
        <v>16</v>
      </c>
    </row>
    <row r="1462" ht="23" customHeight="1" spans="1:10">
      <c r="A1462" s="2">
        <v>1461</v>
      </c>
      <c r="B1462" s="3" t="s">
        <v>2137</v>
      </c>
      <c r="C1462" s="2" t="s">
        <v>2145</v>
      </c>
      <c r="D1462" s="2" t="s">
        <v>41</v>
      </c>
      <c r="E1462" s="2" t="s">
        <v>32</v>
      </c>
      <c r="F1462" s="2" t="s">
        <v>13</v>
      </c>
      <c r="G1462" s="2" t="s">
        <v>21</v>
      </c>
      <c r="H1462" s="4" t="str">
        <f>HYPERLINK("https://baijiahao.baidu.com/s?id=1825642139703861246","https://baijiahao.baidu.com/s?id=1825642139703861246")</f>
        <v>https://baijiahao.baidu.com/s?id=1825642139703861246</v>
      </c>
      <c r="I1462" s="3" t="s">
        <v>2139</v>
      </c>
      <c r="J1462" t="s">
        <v>16</v>
      </c>
    </row>
    <row r="1463" ht="23" customHeight="1" spans="1:10">
      <c r="A1463" s="2">
        <v>1462</v>
      </c>
      <c r="B1463" s="3" t="s">
        <v>2146</v>
      </c>
      <c r="C1463" s="2" t="s">
        <v>2147</v>
      </c>
      <c r="D1463" s="2" t="s">
        <v>41</v>
      </c>
      <c r="E1463" s="2" t="s">
        <v>159</v>
      </c>
      <c r="F1463" s="2" t="s">
        <v>13</v>
      </c>
      <c r="G1463" s="2" t="s">
        <v>21</v>
      </c>
      <c r="H1463" s="4" t="str">
        <f>HYPERLINK("https://baijiahao.baidu.com/s?id=1825580039930472004","https://baijiahao.baidu.com/s?id=1825580039930472004")</f>
        <v>https://baijiahao.baidu.com/s?id=1825580039930472004</v>
      </c>
      <c r="I1463" s="3" t="s">
        <v>2148</v>
      </c>
      <c r="J1463" t="s">
        <v>16</v>
      </c>
    </row>
    <row r="1464" ht="23" customHeight="1" spans="1:10">
      <c r="A1464" s="2">
        <v>1463</v>
      </c>
      <c r="B1464" s="3" t="s">
        <v>2146</v>
      </c>
      <c r="C1464" s="2" t="s">
        <v>2147</v>
      </c>
      <c r="D1464" s="2" t="s">
        <v>40</v>
      </c>
      <c r="E1464" s="2" t="s">
        <v>159</v>
      </c>
      <c r="F1464" s="2" t="s">
        <v>13</v>
      </c>
      <c r="G1464" s="2" t="s">
        <v>21</v>
      </c>
      <c r="H1464" s="4" t="str">
        <f>HYPERLINK("https://www.yoojia.com/article/8860800973549730435.html","https://www.yoojia.com/article/8860800973549730435.html")</f>
        <v>https://www.yoojia.com/article/8860800973549730435.html</v>
      </c>
      <c r="I1464" s="3" t="s">
        <v>2149</v>
      </c>
      <c r="J1464" t="s">
        <v>16</v>
      </c>
    </row>
    <row r="1465" ht="23" customHeight="1" spans="1:10">
      <c r="A1465" s="2">
        <v>1464</v>
      </c>
      <c r="B1465" s="3" t="s">
        <v>2146</v>
      </c>
      <c r="C1465" s="2" t="s">
        <v>2150</v>
      </c>
      <c r="D1465" s="2" t="s">
        <v>347</v>
      </c>
      <c r="E1465" s="2" t="s">
        <v>2151</v>
      </c>
      <c r="F1465" s="2" t="s">
        <v>37</v>
      </c>
      <c r="G1465" s="2" t="s">
        <v>26</v>
      </c>
      <c r="H1465" s="4" t="str">
        <f>HYPERLINK("https://static.zhoudaosh.com/files/cnews/2025/20250303/9F88E3A88BFF3AC6B3D80380DD17FB8EA78A19DB31626687CEB5E1C973DCFF6D/2.html","https://static.zhoudaosh.com/files/cnews/2025/20250303/9F88E3A88BFF3AC6B3D80380DD17FB8EA78A19DB31626687CEB5E1C973DCFF6D/2.html")</f>
        <v>https://static.zhoudaosh.com/files/cnews/2025/20250303/9F88E3A88BFF3AC6B3D80380DD17FB8EA78A19DB31626687CEB5E1C973DCFF6D/2.html</v>
      </c>
      <c r="I1465" s="3" t="s">
        <v>2149</v>
      </c>
      <c r="J1465" t="s">
        <v>16</v>
      </c>
    </row>
    <row r="1466" ht="23" customHeight="1" spans="1:10">
      <c r="A1466" s="2">
        <v>1465</v>
      </c>
      <c r="B1466" s="3" t="s">
        <v>2152</v>
      </c>
      <c r="C1466" s="2" t="s">
        <v>2153</v>
      </c>
      <c r="D1466" s="2" t="s">
        <v>41</v>
      </c>
      <c r="E1466" s="2" t="s">
        <v>20</v>
      </c>
      <c r="F1466" s="2" t="s">
        <v>13</v>
      </c>
      <c r="G1466" s="2" t="s">
        <v>21</v>
      </c>
      <c r="H1466" s="4" t="str">
        <f>HYPERLINK("https://baijiahao.baidu.com/s?id=1825208220659382666","https://baijiahao.baidu.com/s?id=1825208220659382666")</f>
        <v>https://baijiahao.baidu.com/s?id=1825208220659382666</v>
      </c>
      <c r="I1466" s="3" t="s">
        <v>2154</v>
      </c>
      <c r="J1466" t="s">
        <v>16</v>
      </c>
    </row>
    <row r="1467" ht="23" customHeight="1" spans="1:10">
      <c r="A1467" s="2">
        <v>1466</v>
      </c>
      <c r="B1467" s="3" t="s">
        <v>2152</v>
      </c>
      <c r="C1467" s="2" t="s">
        <v>2155</v>
      </c>
      <c r="D1467" s="2" t="s">
        <v>19</v>
      </c>
      <c r="E1467" s="2" t="s">
        <v>20</v>
      </c>
      <c r="F1467" s="2" t="s">
        <v>37</v>
      </c>
      <c r="G1467" s="2" t="s">
        <v>21</v>
      </c>
      <c r="H1467" s="4" t="str">
        <f>HYPERLINK("https://c.m.163.com/news/a/JPE59CBO055040N3.html","https://c.m.163.com/news/a/JPE59CBO055040N3.html")</f>
        <v>https://c.m.163.com/news/a/JPE59CBO055040N3.html</v>
      </c>
      <c r="I1467" s="3" t="s">
        <v>2156</v>
      </c>
      <c r="J1467" t="s">
        <v>16</v>
      </c>
    </row>
    <row r="1468" ht="23" customHeight="1" spans="1:10">
      <c r="A1468" s="2">
        <v>1467</v>
      </c>
      <c r="B1468" s="3" t="s">
        <v>2157</v>
      </c>
      <c r="C1468" s="2" t="s">
        <v>2158</v>
      </c>
      <c r="D1468" s="2" t="s">
        <v>91</v>
      </c>
      <c r="E1468" s="2" t="s">
        <v>1536</v>
      </c>
      <c r="F1468" s="2" t="s">
        <v>91</v>
      </c>
      <c r="G1468" s="2" t="s">
        <v>21</v>
      </c>
      <c r="H1468" s="4" t="str">
        <f>HYPERLINK("http://mp.weixin.qq.com/s?__biz=MzA4ODk3NTcxMQ==&amp;mid=2650308362&amp;idx=2&amp;sn=18e65221a800b0927d085ce7b1e43037","http://mp.weixin.qq.com/s?__biz=MzA4ODk3NTcxMQ==&amp;mid=2650308362&amp;idx=2&amp;sn=18e65221a800b0927d085ce7b1e43037")</f>
        <v>http://mp.weixin.qq.com/s?__biz=MzA4ODk3NTcxMQ==&amp;mid=2650308362&amp;idx=2&amp;sn=18e65221a800b0927d085ce7b1e43037</v>
      </c>
      <c r="I1468" s="3" t="s">
        <v>2159</v>
      </c>
      <c r="J1468" t="s">
        <v>16</v>
      </c>
    </row>
    <row r="1469" ht="23" customHeight="1" spans="1:10">
      <c r="A1469" s="2">
        <v>1468</v>
      </c>
      <c r="B1469" s="3" t="s">
        <v>2160</v>
      </c>
      <c r="C1469" s="2" t="s">
        <v>2161</v>
      </c>
      <c r="D1469" s="2" t="s">
        <v>2162</v>
      </c>
      <c r="E1469" s="2" t="s">
        <v>2162</v>
      </c>
      <c r="F1469" s="2" t="s">
        <v>13</v>
      </c>
      <c r="G1469" s="2" t="s">
        <v>21</v>
      </c>
      <c r="H1469" s="4" t="str">
        <f>HYPERLINK("https://inews.nmgnews.com.cn/system/2025/02/27/030103118.shtml","https://inews.nmgnews.com.cn/system/2025/02/27/030103118.shtml")</f>
        <v>https://inews.nmgnews.com.cn/system/2025/02/27/030103118.shtml</v>
      </c>
      <c r="I1469" s="3" t="s">
        <v>2163</v>
      </c>
      <c r="J1469" t="s">
        <v>16</v>
      </c>
    </row>
    <row r="1470" ht="23" customHeight="1" spans="1:10">
      <c r="A1470" s="2">
        <v>1469</v>
      </c>
      <c r="B1470" s="3" t="s">
        <v>2164</v>
      </c>
      <c r="C1470" s="2" t="s">
        <v>2165</v>
      </c>
      <c r="D1470" s="2" t="s">
        <v>375</v>
      </c>
      <c r="E1470" s="2" t="s">
        <v>375</v>
      </c>
      <c r="F1470" s="2" t="s">
        <v>13</v>
      </c>
      <c r="G1470" s="2" t="s">
        <v>21</v>
      </c>
      <c r="H1470" s="4" t="str">
        <f>HYPERLINK("http://ah.anhuinews.com/gdxw/202502/t20250225_8276362.html","http://ah.anhuinews.com/gdxw/202502/t20250225_8276362.html")</f>
        <v>http://ah.anhuinews.com/gdxw/202502/t20250225_8276362.html</v>
      </c>
      <c r="I1470" s="3" t="s">
        <v>2166</v>
      </c>
      <c r="J1470" t="s">
        <v>16</v>
      </c>
    </row>
    <row r="1471" ht="23" customHeight="1" spans="1:10">
      <c r="A1471" s="2">
        <v>1470</v>
      </c>
      <c r="B1471" s="3" t="s">
        <v>2167</v>
      </c>
      <c r="C1471" s="2" t="s">
        <v>2168</v>
      </c>
      <c r="D1471" s="2" t="s">
        <v>262</v>
      </c>
      <c r="E1471" s="2" t="s">
        <v>262</v>
      </c>
      <c r="F1471" s="2" t="s">
        <v>13</v>
      </c>
      <c r="G1471" s="2" t="s">
        <v>21</v>
      </c>
      <c r="H1471" s="4" t="str">
        <f>HYPERLINK("https://www.shanghai.gov.cn/nw15343/20250225/56e19163925946cdb4c46a7b11781284.html","https://www.shanghai.gov.cn/nw15343/20250225/56e19163925946cdb4c46a7b11781284.html")</f>
        <v>https://www.shanghai.gov.cn/nw15343/20250225/56e19163925946cdb4c46a7b11781284.html</v>
      </c>
      <c r="I1471" s="3" t="s">
        <v>2169</v>
      </c>
      <c r="J1471" t="s">
        <v>16</v>
      </c>
    </row>
    <row r="1472" ht="23" customHeight="1" spans="1:10">
      <c r="A1472" s="2">
        <v>1471</v>
      </c>
      <c r="B1472" s="3" t="s">
        <v>2167</v>
      </c>
      <c r="C1472" s="2" t="s">
        <v>2170</v>
      </c>
      <c r="D1472" s="2" t="s">
        <v>436</v>
      </c>
      <c r="E1472" s="2" t="s">
        <v>436</v>
      </c>
      <c r="F1472" s="2" t="s">
        <v>13</v>
      </c>
      <c r="G1472" s="2" t="s">
        <v>26</v>
      </c>
      <c r="H1472" s="4" t="str">
        <f>HYPERLINK("https://www.csjcs.com/news/show/970882cb36c50c0c.html","https://www.csjcs.com/news/show/970882cb36c50c0c.html")</f>
        <v>https://www.csjcs.com/news/show/970882cb36c50c0c.html</v>
      </c>
      <c r="I1472" s="3" t="s">
        <v>2169</v>
      </c>
      <c r="J1472" t="s">
        <v>16</v>
      </c>
    </row>
    <row r="1473" ht="23" customHeight="1" spans="1:10">
      <c r="A1473" s="2">
        <v>1472</v>
      </c>
      <c r="B1473" s="3" t="s">
        <v>2171</v>
      </c>
      <c r="C1473" s="2" t="s">
        <v>2172</v>
      </c>
      <c r="D1473" s="2" t="s">
        <v>11</v>
      </c>
      <c r="E1473" s="2" t="s">
        <v>20</v>
      </c>
      <c r="F1473" s="2" t="s">
        <v>13</v>
      </c>
      <c r="G1473" s="2" t="s">
        <v>21</v>
      </c>
      <c r="H1473" s="4" t="str">
        <f>HYPERLINK("https://www.toutiao.com/article/7474915834995474995/","https://www.toutiao.com/article/7474915834995474995/")</f>
        <v>https://www.toutiao.com/article/7474915834995474995/</v>
      </c>
      <c r="I1473" s="3" t="s">
        <v>2173</v>
      </c>
      <c r="J1473" t="s">
        <v>16</v>
      </c>
    </row>
    <row r="1474" ht="23" customHeight="1" spans="1:10">
      <c r="A1474" s="2">
        <v>1473</v>
      </c>
      <c r="B1474" s="3" t="s">
        <v>2171</v>
      </c>
      <c r="C1474" s="2" t="s">
        <v>2174</v>
      </c>
      <c r="D1474" s="2" t="s">
        <v>41</v>
      </c>
      <c r="E1474" s="2" t="s">
        <v>20</v>
      </c>
      <c r="F1474" s="2" t="s">
        <v>13</v>
      </c>
      <c r="G1474" s="2" t="s">
        <v>21</v>
      </c>
      <c r="H1474" s="4" t="str">
        <f>HYPERLINK("https://mbd.baidu.com/newspage/data/dtlandingwise?nid=dt_9974785816739028472","https://mbd.baidu.com/newspage/data/dtlandingwise?nid=dt_9974785816739028472")</f>
        <v>https://mbd.baidu.com/newspage/data/dtlandingwise?nid=dt_9974785816739028472</v>
      </c>
      <c r="I1474" s="3" t="s">
        <v>2175</v>
      </c>
      <c r="J1474" t="s">
        <v>16</v>
      </c>
    </row>
    <row r="1475" ht="23" customHeight="1" spans="1:10">
      <c r="A1475" s="2">
        <v>1474</v>
      </c>
      <c r="B1475" s="3" t="s">
        <v>2171</v>
      </c>
      <c r="C1475" s="2" t="s">
        <v>2176</v>
      </c>
      <c r="D1475" s="2" t="s">
        <v>41</v>
      </c>
      <c r="E1475" s="2" t="s">
        <v>20</v>
      </c>
      <c r="F1475" s="2" t="s">
        <v>13</v>
      </c>
      <c r="G1475" s="2" t="s">
        <v>21</v>
      </c>
      <c r="H1475" s="4" t="str">
        <f>HYPERLINK("https://baijiahao.baidu.com/s?id=1824928784463364356","https://baijiahao.baidu.com/s?id=1824928784463364356")</f>
        <v>https://baijiahao.baidu.com/s?id=1824928784463364356</v>
      </c>
      <c r="I1475" s="3" t="s">
        <v>2173</v>
      </c>
      <c r="J1475" t="s">
        <v>16</v>
      </c>
    </row>
    <row r="1476" ht="23" customHeight="1" spans="1:10">
      <c r="A1476" s="2">
        <v>1475</v>
      </c>
      <c r="B1476" s="3" t="s">
        <v>2171</v>
      </c>
      <c r="C1476" s="2" t="s">
        <v>2177</v>
      </c>
      <c r="D1476" s="2" t="s">
        <v>19</v>
      </c>
      <c r="E1476" s="2" t="s">
        <v>20</v>
      </c>
      <c r="F1476" s="2" t="s">
        <v>37</v>
      </c>
      <c r="G1476" s="2" t="s">
        <v>21</v>
      </c>
      <c r="H1476" s="4" t="str">
        <f>HYPERLINK("https://c.m.163.com/news/a/JP66UH5N055040N3.html","https://c.m.163.com/news/a/JP66UH5N055040N3.html")</f>
        <v>https://c.m.163.com/news/a/JP66UH5N055040N3.html</v>
      </c>
      <c r="I1476" s="3" t="s">
        <v>2178</v>
      </c>
      <c r="J1476" t="s">
        <v>16</v>
      </c>
    </row>
    <row r="1477" ht="23" customHeight="1" spans="1:10">
      <c r="A1477" s="2">
        <v>1476</v>
      </c>
      <c r="B1477" s="3" t="s">
        <v>2171</v>
      </c>
      <c r="C1477" s="2" t="s">
        <v>2179</v>
      </c>
      <c r="D1477" s="2" t="s">
        <v>11</v>
      </c>
      <c r="E1477" s="2" t="s">
        <v>20</v>
      </c>
      <c r="F1477" s="2" t="s">
        <v>13</v>
      </c>
      <c r="G1477" s="2" t="s">
        <v>21</v>
      </c>
      <c r="H1477" s="4" t="str">
        <f>HYPERLINK("https://www.toutiao.com/article/7474900358209389071/","https://www.toutiao.com/article/7474900358209389071/")</f>
        <v>https://www.toutiao.com/article/7474900358209389071/</v>
      </c>
      <c r="I1477" s="3" t="s">
        <v>2173</v>
      </c>
      <c r="J1477" t="s">
        <v>16</v>
      </c>
    </row>
    <row r="1478" ht="23" customHeight="1" spans="1:10">
      <c r="A1478" s="2">
        <v>1477</v>
      </c>
      <c r="B1478" s="3" t="s">
        <v>2180</v>
      </c>
      <c r="C1478" s="2" t="s">
        <v>2181</v>
      </c>
      <c r="D1478" s="2" t="s">
        <v>428</v>
      </c>
      <c r="E1478" s="2" t="s">
        <v>2182</v>
      </c>
      <c r="F1478" s="2" t="s">
        <v>13</v>
      </c>
      <c r="G1478" s="2" t="s">
        <v>14</v>
      </c>
      <c r="H1478" s="4" t="str">
        <f>HYPERLINK("https://article.xuexi.cn/articles/index.html?art_id=16848459381102731933&amp;cdn=https://region-shanghai-resource","https://article.xuexi.cn/articles/index.html?art_id=16848459381102731933&amp;cdn=https://region-shanghai-resource")</f>
        <v>https://article.xuexi.cn/articles/index.html?art_id=16848459381102731933&amp;cdn=https://region-shanghai-resource</v>
      </c>
      <c r="I1478" s="3" t="s">
        <v>2183</v>
      </c>
      <c r="J1478" t="s">
        <v>16</v>
      </c>
    </row>
    <row r="1479" ht="23" customHeight="1" spans="1:10">
      <c r="A1479" s="2">
        <v>1478</v>
      </c>
      <c r="B1479" s="3" t="s">
        <v>2184</v>
      </c>
      <c r="C1479" s="2" t="s">
        <v>2185</v>
      </c>
      <c r="D1479" s="2" t="s">
        <v>41</v>
      </c>
      <c r="E1479" s="2" t="s">
        <v>20</v>
      </c>
      <c r="F1479" s="2" t="s">
        <v>13</v>
      </c>
      <c r="G1479" s="2" t="s">
        <v>21</v>
      </c>
      <c r="H1479" s="4" t="str">
        <f>HYPERLINK("https://baijiahao.baidu.com/s?id=1824815466876815999","https://baijiahao.baidu.com/s?id=1824815466876815999")</f>
        <v>https://baijiahao.baidu.com/s?id=1824815466876815999</v>
      </c>
      <c r="I1479" s="3" t="s">
        <v>2186</v>
      </c>
      <c r="J1479" t="s">
        <v>16</v>
      </c>
    </row>
    <row r="1480" ht="23" customHeight="1" spans="1:10">
      <c r="A1480" s="2">
        <v>1479</v>
      </c>
      <c r="B1480" s="3" t="s">
        <v>2184</v>
      </c>
      <c r="C1480" s="2" t="s">
        <v>2187</v>
      </c>
      <c r="D1480" s="2" t="s">
        <v>19</v>
      </c>
      <c r="E1480" s="2" t="s">
        <v>20</v>
      </c>
      <c r="F1480" s="2" t="s">
        <v>37</v>
      </c>
      <c r="G1480" s="2" t="s">
        <v>21</v>
      </c>
      <c r="H1480" s="4" t="str">
        <f>HYPERLINK("https://c.m.163.com/news/a/JP307IUJ055040N3.html","https://c.m.163.com/news/a/JP307IUJ055040N3.html")</f>
        <v>https://c.m.163.com/news/a/JP307IUJ055040N3.html</v>
      </c>
      <c r="I1480" s="3" t="s">
        <v>2188</v>
      </c>
      <c r="J1480" t="s">
        <v>16</v>
      </c>
    </row>
    <row r="1481" ht="23" customHeight="1" spans="1:10">
      <c r="A1481" s="2">
        <v>1480</v>
      </c>
      <c r="B1481" s="3" t="s">
        <v>2184</v>
      </c>
      <c r="C1481" s="2" t="s">
        <v>2189</v>
      </c>
      <c r="D1481" s="2" t="s">
        <v>11</v>
      </c>
      <c r="E1481" s="2" t="s">
        <v>20</v>
      </c>
      <c r="F1481" s="2" t="s">
        <v>13</v>
      </c>
      <c r="G1481" s="2" t="s">
        <v>21</v>
      </c>
      <c r="H1481" s="4" t="str">
        <f>HYPERLINK("https://www.toutiao.com/article/7474436457092907531/","https://www.toutiao.com/article/7474436457092907531/")</f>
        <v>https://www.toutiao.com/article/7474436457092907531/</v>
      </c>
      <c r="I1481" s="3" t="s">
        <v>2186</v>
      </c>
      <c r="J1481" t="s">
        <v>16</v>
      </c>
    </row>
    <row r="1482" ht="23" customHeight="1" spans="1:10">
      <c r="A1482" s="2">
        <v>1481</v>
      </c>
      <c r="B1482" s="3" t="s">
        <v>2190</v>
      </c>
      <c r="C1482" s="2" t="s">
        <v>2191</v>
      </c>
      <c r="D1482" s="2" t="s">
        <v>428</v>
      </c>
      <c r="E1482" s="2" t="s">
        <v>2192</v>
      </c>
      <c r="F1482" s="2" t="s">
        <v>13</v>
      </c>
      <c r="G1482" s="2" t="s">
        <v>14</v>
      </c>
      <c r="H1482" s="4" t="str">
        <f>HYPERLINK("https://article.xuexi.cn/articles/index.html?art_id=750361759007166011&amp;cdn=https://region-shanghai-resource","https://article.xuexi.cn/articles/index.html?art_id=750361759007166011&amp;cdn=https://region-shanghai-resource")</f>
        <v>https://article.xuexi.cn/articles/index.html?art_id=750361759007166011&amp;cdn=https://region-shanghai-resource</v>
      </c>
      <c r="I1482" s="3" t="s">
        <v>2193</v>
      </c>
      <c r="J1482" t="s">
        <v>16</v>
      </c>
    </row>
    <row r="1483" ht="23" customHeight="1" spans="1:10">
      <c r="A1483" s="2">
        <v>1482</v>
      </c>
      <c r="B1483" s="3" t="s">
        <v>2194</v>
      </c>
      <c r="C1483" s="2" t="s">
        <v>2195</v>
      </c>
      <c r="D1483" s="2" t="s">
        <v>635</v>
      </c>
      <c r="E1483" s="2" t="s">
        <v>2196</v>
      </c>
      <c r="F1483" s="2" t="s">
        <v>13</v>
      </c>
      <c r="G1483" s="2" t="s">
        <v>26</v>
      </c>
      <c r="H1483" s="4" t="str">
        <f>HYPERLINK("https://www.myzaker.com/article/67b9b9b68e9f09527b7cacaa","https://www.myzaker.com/article/67b9b9b68e9f09527b7cacaa")</f>
        <v>https://www.myzaker.com/article/67b9b9b68e9f09527b7cacaa</v>
      </c>
      <c r="I1483" s="3" t="s">
        <v>2197</v>
      </c>
      <c r="J1483" t="s">
        <v>16</v>
      </c>
    </row>
    <row r="1484" ht="23" customHeight="1" spans="1:10">
      <c r="A1484" s="2">
        <v>1483</v>
      </c>
      <c r="B1484" s="3" t="s">
        <v>2194</v>
      </c>
      <c r="C1484" s="2" t="s">
        <v>2198</v>
      </c>
      <c r="D1484" s="2" t="s">
        <v>635</v>
      </c>
      <c r="E1484" s="2" t="s">
        <v>132</v>
      </c>
      <c r="F1484" s="2" t="s">
        <v>13</v>
      </c>
      <c r="G1484" s="2" t="s">
        <v>26</v>
      </c>
      <c r="H1484" s="4" t="str">
        <f>HYPERLINK("http://www.myzaker.com/article/67b9b9b68e9f09527b7cacaa","http://www.myzaker.com/article/67b9b9b68e9f09527b7cacaa")</f>
        <v>http://www.myzaker.com/article/67b9b9b68e9f09527b7cacaa</v>
      </c>
      <c r="I1484" s="3" t="s">
        <v>2197</v>
      </c>
      <c r="J1484" t="s">
        <v>16</v>
      </c>
    </row>
    <row r="1485" ht="23" customHeight="1" spans="1:10">
      <c r="A1485" s="2">
        <v>1484</v>
      </c>
      <c r="B1485" s="3" t="s">
        <v>2199</v>
      </c>
      <c r="C1485" s="2" t="s">
        <v>2200</v>
      </c>
      <c r="D1485" s="2" t="s">
        <v>2201</v>
      </c>
      <c r="E1485" s="2" t="s">
        <v>2201</v>
      </c>
      <c r="F1485" s="2" t="s">
        <v>13</v>
      </c>
      <c r="G1485" s="2" t="s">
        <v>26</v>
      </c>
      <c r="H1485" s="4" t="str">
        <f>HYPERLINK("http://www.onecq.cn/tupian/92980.html","http://www.onecq.cn/tupian/92980.html")</f>
        <v>http://www.onecq.cn/tupian/92980.html</v>
      </c>
      <c r="I1485" s="3" t="s">
        <v>2169</v>
      </c>
      <c r="J1485" t="s">
        <v>16</v>
      </c>
    </row>
    <row r="1486" ht="23" customHeight="1" spans="1:10">
      <c r="A1486" s="2">
        <v>1485</v>
      </c>
      <c r="B1486" s="3" t="s">
        <v>2199</v>
      </c>
      <c r="C1486" s="2" t="s">
        <v>2200</v>
      </c>
      <c r="D1486" s="2" t="s">
        <v>2202</v>
      </c>
      <c r="E1486" s="2" t="s">
        <v>2203</v>
      </c>
      <c r="F1486" s="2" t="s">
        <v>13</v>
      </c>
      <c r="G1486" s="2" t="s">
        <v>26</v>
      </c>
      <c r="H1486" s="4" t="str">
        <f>HYPERLINK("http://www.snnby.com/xinwen/126959.html","http://www.snnby.com/xinwen/126959.html")</f>
        <v>http://www.snnby.com/xinwen/126959.html</v>
      </c>
      <c r="I1486" s="3" t="s">
        <v>2169</v>
      </c>
      <c r="J1486" t="s">
        <v>16</v>
      </c>
    </row>
    <row r="1487" ht="23" customHeight="1" spans="1:10">
      <c r="A1487" s="2">
        <v>1486</v>
      </c>
      <c r="B1487" s="3" t="s">
        <v>2199</v>
      </c>
      <c r="C1487" s="2" t="s">
        <v>2200</v>
      </c>
      <c r="D1487" s="2" t="s">
        <v>2204</v>
      </c>
      <c r="E1487" s="2" t="s">
        <v>2204</v>
      </c>
      <c r="F1487" s="2" t="s">
        <v>13</v>
      </c>
      <c r="G1487" s="2" t="s">
        <v>26</v>
      </c>
      <c r="H1487" s="4" t="str">
        <f>HYPERLINK("http://ynldw.cn/zonghe/2025/0222/303261.html","http://ynldw.cn/zonghe/2025/0222/303261.html")</f>
        <v>http://ynldw.cn/zonghe/2025/0222/303261.html</v>
      </c>
      <c r="I1487" s="3" t="s">
        <v>2169</v>
      </c>
      <c r="J1487" t="s">
        <v>16</v>
      </c>
    </row>
    <row r="1488" ht="23" customHeight="1" spans="1:10">
      <c r="A1488" s="2">
        <v>1487</v>
      </c>
      <c r="B1488" s="3" t="s">
        <v>2194</v>
      </c>
      <c r="C1488" s="2" t="s">
        <v>2205</v>
      </c>
      <c r="D1488" s="2" t="s">
        <v>19</v>
      </c>
      <c r="E1488" s="2" t="s">
        <v>20</v>
      </c>
      <c r="F1488" s="2" t="s">
        <v>37</v>
      </c>
      <c r="G1488" s="2" t="s">
        <v>21</v>
      </c>
      <c r="H1488" s="4" t="str">
        <f>HYPERLINK("https://c.m.163.com/news/a/JP1DON9V055040N3.html","https://c.m.163.com/news/a/JP1DON9V055040N3.html")</f>
        <v>https://c.m.163.com/news/a/JP1DON9V055040N3.html</v>
      </c>
      <c r="I1488" s="3" t="s">
        <v>2206</v>
      </c>
      <c r="J1488" t="s">
        <v>16</v>
      </c>
    </row>
    <row r="1489" ht="23" customHeight="1" spans="1:10">
      <c r="A1489" s="2">
        <v>1488</v>
      </c>
      <c r="B1489" s="3" t="s">
        <v>2207</v>
      </c>
      <c r="C1489" s="2" t="s">
        <v>2208</v>
      </c>
      <c r="D1489" s="2" t="s">
        <v>91</v>
      </c>
      <c r="E1489" s="2" t="s">
        <v>159</v>
      </c>
      <c r="F1489" s="2" t="s">
        <v>91</v>
      </c>
      <c r="G1489" s="2" t="s">
        <v>21</v>
      </c>
      <c r="H1489" s="4" t="str">
        <f>HYPERLINK("http://mp.weixin.qq.com/s?__biz=Nzg1MzAxMTgx&amp;mid=2655215242&amp;idx=4&amp;sn=7e7cb909becdd42561c898ff32ab1e2d","http://mp.weixin.qq.com/s?__biz=Nzg1MzAxMTgx&amp;mid=2655215242&amp;idx=4&amp;sn=7e7cb909becdd42561c898ff32ab1e2d")</f>
        <v>http://mp.weixin.qq.com/s?__biz=Nzg1MzAxMTgx&amp;mid=2655215242&amp;idx=4&amp;sn=7e7cb909becdd42561c898ff32ab1e2d</v>
      </c>
      <c r="I1489" s="3" t="s">
        <v>2169</v>
      </c>
      <c r="J1489" t="s">
        <v>16</v>
      </c>
    </row>
    <row r="1490" ht="23" customHeight="1" spans="1:10">
      <c r="A1490" s="2">
        <v>1489</v>
      </c>
      <c r="B1490" s="3" t="s">
        <v>2194</v>
      </c>
      <c r="C1490" s="2" t="s">
        <v>2209</v>
      </c>
      <c r="D1490" s="2" t="s">
        <v>19</v>
      </c>
      <c r="E1490" s="2" t="s">
        <v>135</v>
      </c>
      <c r="F1490" s="2" t="s">
        <v>37</v>
      </c>
      <c r="G1490" s="2" t="s">
        <v>21</v>
      </c>
      <c r="H1490" s="4" t="str">
        <f>HYPERLINK("https://c.m.163.com/news/a/JP1C91KS05506BEH.html","https://c.m.163.com/news/a/JP1C91KS05506BEH.html")</f>
        <v>https://c.m.163.com/news/a/JP1C91KS05506BEH.html</v>
      </c>
      <c r="I1490" s="3" t="s">
        <v>2206</v>
      </c>
      <c r="J1490" t="s">
        <v>16</v>
      </c>
    </row>
    <row r="1491" ht="23" customHeight="1" spans="1:10">
      <c r="A1491" s="2">
        <v>1490</v>
      </c>
      <c r="B1491" s="3" t="s">
        <v>2194</v>
      </c>
      <c r="C1491" s="2" t="s">
        <v>2210</v>
      </c>
      <c r="D1491" s="2" t="s">
        <v>11</v>
      </c>
      <c r="E1491" s="2" t="s">
        <v>20</v>
      </c>
      <c r="F1491" s="2" t="s">
        <v>13</v>
      </c>
      <c r="G1491" s="2" t="s">
        <v>21</v>
      </c>
      <c r="H1491" s="4" t="str">
        <f>HYPERLINK("https://www.toutiao.com/article/7474208604602515994/","https://www.toutiao.com/article/7474208604602515994/")</f>
        <v>https://www.toutiao.com/article/7474208604602515994/</v>
      </c>
      <c r="I1491" s="3" t="s">
        <v>2206</v>
      </c>
      <c r="J1491" t="s">
        <v>16</v>
      </c>
    </row>
    <row r="1492" ht="23" customHeight="1" spans="1:10">
      <c r="A1492" s="2">
        <v>1491</v>
      </c>
      <c r="B1492" s="3" t="s">
        <v>2194</v>
      </c>
      <c r="C1492" s="2" t="s">
        <v>2211</v>
      </c>
      <c r="D1492" s="2" t="s">
        <v>40</v>
      </c>
      <c r="E1492" s="2" t="s">
        <v>135</v>
      </c>
      <c r="F1492" s="2" t="s">
        <v>13</v>
      </c>
      <c r="G1492" s="2" t="s">
        <v>21</v>
      </c>
      <c r="H1492" s="4" t="str">
        <f>HYPERLINK("https://www.yoojia.com/article/10128208589821942365.html","https://www.yoojia.com/article/10128208589821942365.html")</f>
        <v>https://www.yoojia.com/article/10128208589821942365.html</v>
      </c>
      <c r="I1492" s="3" t="s">
        <v>2206</v>
      </c>
      <c r="J1492" t="s">
        <v>16</v>
      </c>
    </row>
    <row r="1493" ht="23" customHeight="1" spans="1:10">
      <c r="A1493" s="2">
        <v>1492</v>
      </c>
      <c r="B1493" s="3" t="s">
        <v>2194</v>
      </c>
      <c r="C1493" s="2" t="s">
        <v>2212</v>
      </c>
      <c r="D1493" s="2" t="s">
        <v>107</v>
      </c>
      <c r="E1493" s="2" t="s">
        <v>135</v>
      </c>
      <c r="F1493" s="2" t="s">
        <v>13</v>
      </c>
      <c r="G1493" s="2" t="s">
        <v>21</v>
      </c>
      <c r="H1493" s="4" t="str">
        <f>HYPERLINK("https://k.sina.cn/article_1914880192_7222c0c002001h1yu.html","https://k.sina.cn/article_1914880192_7222c0c002001h1yu.html")</f>
        <v>https://k.sina.cn/article_1914880192_7222c0c002001h1yu.html</v>
      </c>
      <c r="I1493" s="3" t="s">
        <v>2206</v>
      </c>
      <c r="J1493" t="s">
        <v>16</v>
      </c>
    </row>
    <row r="1494" ht="23" customHeight="1" spans="1:10">
      <c r="A1494" s="2">
        <v>1493</v>
      </c>
      <c r="B1494" s="3" t="s">
        <v>2194</v>
      </c>
      <c r="C1494" s="2" t="s">
        <v>2213</v>
      </c>
      <c r="D1494" s="2" t="s">
        <v>41</v>
      </c>
      <c r="E1494" s="2" t="s">
        <v>135</v>
      </c>
      <c r="F1494" s="2" t="s">
        <v>13</v>
      </c>
      <c r="G1494" s="2" t="s">
        <v>21</v>
      </c>
      <c r="H1494" s="4" t="str">
        <f>HYPERLINK("https://baijiahao.baidu.com/s?id=1824757966729439538","https://baijiahao.baidu.com/s?id=1824757966729439538")</f>
        <v>https://baijiahao.baidu.com/s?id=1824757966729439538</v>
      </c>
      <c r="I1494" s="3" t="s">
        <v>2206</v>
      </c>
      <c r="J1494" t="s">
        <v>16</v>
      </c>
    </row>
    <row r="1495" ht="23" customHeight="1" spans="1:10">
      <c r="A1495" s="2">
        <v>1494</v>
      </c>
      <c r="B1495" s="3" t="s">
        <v>2194</v>
      </c>
      <c r="C1495" s="2" t="s">
        <v>2213</v>
      </c>
      <c r="D1495" s="2" t="s">
        <v>491</v>
      </c>
      <c r="E1495" s="2" t="s">
        <v>649</v>
      </c>
      <c r="F1495" s="2" t="s">
        <v>37</v>
      </c>
      <c r="G1495" s="2" t="s">
        <v>21</v>
      </c>
      <c r="H1495" s="4" t="str">
        <f>HYPERLINK("https://ishare.ifeng.com/c/s/8hBbhOXLCqw","https://ishare.ifeng.com/c/s/8hBbhOXLCqw")</f>
        <v>https://ishare.ifeng.com/c/s/8hBbhOXLCqw</v>
      </c>
      <c r="I1495" s="3" t="s">
        <v>2206</v>
      </c>
      <c r="J1495" t="s">
        <v>16</v>
      </c>
    </row>
    <row r="1496" ht="23" customHeight="1" spans="1:10">
      <c r="A1496" s="2">
        <v>1495</v>
      </c>
      <c r="B1496" s="3" t="s">
        <v>2194</v>
      </c>
      <c r="C1496" s="2" t="s">
        <v>2213</v>
      </c>
      <c r="D1496" s="2" t="s">
        <v>334</v>
      </c>
      <c r="E1496" s="2" t="s">
        <v>334</v>
      </c>
      <c r="F1496" s="2" t="s">
        <v>37</v>
      </c>
      <c r="G1496" s="2" t="s">
        <v>26</v>
      </c>
      <c r="H1496" s="4" t="str">
        <f>HYPERLINK("https://j.021east.com/m/1740226541049855","https://j.021east.com/m/1740226541049855")</f>
        <v>https://j.021east.com/m/1740226541049855</v>
      </c>
      <c r="I1496" s="3" t="s">
        <v>2206</v>
      </c>
      <c r="J1496" t="s">
        <v>16</v>
      </c>
    </row>
    <row r="1497" ht="23" customHeight="1" spans="1:10">
      <c r="A1497" s="2">
        <v>1496</v>
      </c>
      <c r="B1497" s="3" t="s">
        <v>2194</v>
      </c>
      <c r="C1497" s="2" t="s">
        <v>2213</v>
      </c>
      <c r="D1497" s="2" t="s">
        <v>46</v>
      </c>
      <c r="E1497" s="2" t="s">
        <v>135</v>
      </c>
      <c r="F1497" s="2" t="s">
        <v>37</v>
      </c>
      <c r="G1497" s="2" t="s">
        <v>21</v>
      </c>
      <c r="H1497" s="4" t="str">
        <f>HYPERLINK("https://3g.k.sohu.com/t/n865508166?serialId=43d38f37d140efc179ad73824cf1c8a5&amp;showType=865508166","https://3g.k.sohu.com/t/n865508166?serialId=43d38f37d140efc179ad73824cf1c8a5&amp;showType=865508166")</f>
        <v>https://3g.k.sohu.com/t/n865508166?serialId=43d38f37d140efc179ad73824cf1c8a5&amp;showType=865508166</v>
      </c>
      <c r="I1497" s="3" t="s">
        <v>2214</v>
      </c>
      <c r="J1497" t="s">
        <v>16</v>
      </c>
    </row>
    <row r="1498" ht="23" customHeight="1" spans="1:10">
      <c r="A1498" s="2">
        <v>1497</v>
      </c>
      <c r="B1498" s="3" t="s">
        <v>2194</v>
      </c>
      <c r="C1498" s="2" t="s">
        <v>2213</v>
      </c>
      <c r="D1498" s="2" t="s">
        <v>41</v>
      </c>
      <c r="E1498" s="2" t="s">
        <v>20</v>
      </c>
      <c r="F1498" s="2" t="s">
        <v>13</v>
      </c>
      <c r="G1498" s="2" t="s">
        <v>21</v>
      </c>
      <c r="H1498" s="4" t="str">
        <f>HYPERLINK("https://baijiahao.baidu.com/s?id=1824757963452348493","https://baijiahao.baidu.com/s?id=1824757963452348493")</f>
        <v>https://baijiahao.baidu.com/s?id=1824757963452348493</v>
      </c>
      <c r="I1498" s="3" t="s">
        <v>2206</v>
      </c>
      <c r="J1498" t="s">
        <v>16</v>
      </c>
    </row>
    <row r="1499" ht="23" customHeight="1" spans="1:10">
      <c r="A1499" s="2">
        <v>1498</v>
      </c>
      <c r="B1499" s="3" t="s">
        <v>2194</v>
      </c>
      <c r="C1499" s="2" t="s">
        <v>2213</v>
      </c>
      <c r="D1499" s="2" t="s">
        <v>46</v>
      </c>
      <c r="E1499" s="2" t="s">
        <v>135</v>
      </c>
      <c r="F1499" s="2" t="s">
        <v>13</v>
      </c>
      <c r="G1499" s="2" t="s">
        <v>21</v>
      </c>
      <c r="H1499" s="4" t="str">
        <f>HYPERLINK("https://www.sohu.com/a/862406950_120244154","https://www.sohu.com/a/862406950_120244154")</f>
        <v>https://www.sohu.com/a/862406950_120244154</v>
      </c>
      <c r="I1499" s="3" t="s">
        <v>2206</v>
      </c>
      <c r="J1499" t="s">
        <v>16</v>
      </c>
    </row>
    <row r="1500" ht="23" customHeight="1" spans="1:10">
      <c r="A1500" s="2">
        <v>1499</v>
      </c>
      <c r="B1500" s="3" t="s">
        <v>2194</v>
      </c>
      <c r="C1500" s="2" t="s">
        <v>2213</v>
      </c>
      <c r="D1500" s="2" t="s">
        <v>71</v>
      </c>
      <c r="E1500" s="2" t="s">
        <v>71</v>
      </c>
      <c r="F1500" s="2" t="s">
        <v>13</v>
      </c>
      <c r="G1500" s="2" t="s">
        <v>21</v>
      </c>
      <c r="H1500" s="4" t="str">
        <f>HYPERLINK("https://j.eastday.com/p/1740226541049855","https://j.eastday.com/p/1740226541049855")</f>
        <v>https://j.eastday.com/p/1740226541049855</v>
      </c>
      <c r="I1500" s="3" t="s">
        <v>2206</v>
      </c>
      <c r="J1500" t="s">
        <v>16</v>
      </c>
    </row>
    <row r="1501" ht="23" customHeight="1" spans="1:10">
      <c r="A1501" s="2">
        <v>1500</v>
      </c>
      <c r="B1501" s="3" t="s">
        <v>2194</v>
      </c>
      <c r="C1501" s="2" t="s">
        <v>2213</v>
      </c>
      <c r="D1501" s="2" t="s">
        <v>43</v>
      </c>
      <c r="E1501" s="2" t="s">
        <v>43</v>
      </c>
      <c r="F1501" s="2" t="s">
        <v>37</v>
      </c>
      <c r="G1501" s="2" t="s">
        <v>21</v>
      </c>
      <c r="H1501" s="4" t="str">
        <f>HYPERLINK("https://export.shobserver.com/baijiahao/html/864328.html","https://export.shobserver.com/baijiahao/html/864328.html")</f>
        <v>https://export.shobserver.com/baijiahao/html/864328.html</v>
      </c>
      <c r="I1501" s="3" t="s">
        <v>2206</v>
      </c>
      <c r="J1501" t="s">
        <v>16</v>
      </c>
    </row>
    <row r="1502" ht="23" customHeight="1" spans="1:10">
      <c r="A1502" s="2">
        <v>1501</v>
      </c>
      <c r="B1502" s="3" t="s">
        <v>2194</v>
      </c>
      <c r="C1502" s="2" t="s">
        <v>2213</v>
      </c>
      <c r="D1502" s="2" t="s">
        <v>491</v>
      </c>
      <c r="E1502" s="2" t="s">
        <v>649</v>
      </c>
      <c r="F1502" s="2" t="s">
        <v>13</v>
      </c>
      <c r="G1502" s="2" t="s">
        <v>21</v>
      </c>
      <c r="H1502" s="4" t="str">
        <f>HYPERLINK("https://ishare.ifeng.com/c/s/v002uvT2gk-_2NoOi2oTow3C--Rfn7e--aIcICU5ErqGixfit8__","https://ishare.ifeng.com/c/s/v002uvT2gk-_2NoOi2oTow3C--Rfn7e--aIcICU5ErqGixfit8__")</f>
        <v>https://ishare.ifeng.com/c/s/v002uvT2gk-_2NoOi2oTow3C--Rfn7e--aIcICU5ErqGixfit8__</v>
      </c>
      <c r="I1502" s="3" t="s">
        <v>2206</v>
      </c>
      <c r="J1502" t="s">
        <v>16</v>
      </c>
    </row>
    <row r="1503" ht="23" customHeight="1" spans="1:10">
      <c r="A1503" s="2">
        <v>1502</v>
      </c>
      <c r="B1503" s="3" t="s">
        <v>2199</v>
      </c>
      <c r="C1503" s="2" t="s">
        <v>2215</v>
      </c>
      <c r="D1503" s="2" t="s">
        <v>19</v>
      </c>
      <c r="E1503" s="2" t="s">
        <v>20</v>
      </c>
      <c r="F1503" s="2" t="s">
        <v>37</v>
      </c>
      <c r="G1503" s="2" t="s">
        <v>21</v>
      </c>
      <c r="H1503" s="4" t="str">
        <f>HYPERLINK("https://c.m.163.com/news/a/JP16ECAP055040N3.html","https://c.m.163.com/news/a/JP16ECAP055040N3.html")</f>
        <v>https://c.m.163.com/news/a/JP16ECAP055040N3.html</v>
      </c>
      <c r="I1503" s="3" t="s">
        <v>2216</v>
      </c>
      <c r="J1503" t="s">
        <v>16</v>
      </c>
    </row>
    <row r="1504" ht="23" customHeight="1" spans="1:10">
      <c r="A1504" s="2">
        <v>1503</v>
      </c>
      <c r="B1504" s="3" t="s">
        <v>2199</v>
      </c>
      <c r="C1504" s="2" t="s">
        <v>2217</v>
      </c>
      <c r="D1504" s="2" t="s">
        <v>11</v>
      </c>
      <c r="E1504" s="2" t="s">
        <v>20</v>
      </c>
      <c r="F1504" s="2" t="s">
        <v>13</v>
      </c>
      <c r="G1504" s="2" t="s">
        <v>21</v>
      </c>
      <c r="H1504" s="4" t="str">
        <f>HYPERLINK("https://www.toutiao.com/article/7474177430144500278/","https://www.toutiao.com/article/7474177430144500278/")</f>
        <v>https://www.toutiao.com/article/7474177430144500278/</v>
      </c>
      <c r="I1504" s="3" t="s">
        <v>2216</v>
      </c>
      <c r="J1504" t="s">
        <v>16</v>
      </c>
    </row>
    <row r="1505" ht="23" customHeight="1" spans="1:10">
      <c r="A1505" s="2">
        <v>1504</v>
      </c>
      <c r="B1505" s="3" t="s">
        <v>2199</v>
      </c>
      <c r="C1505" s="2" t="s">
        <v>2218</v>
      </c>
      <c r="D1505" s="2" t="s">
        <v>34</v>
      </c>
      <c r="E1505" s="2" t="s">
        <v>20</v>
      </c>
      <c r="F1505" s="2" t="s">
        <v>13</v>
      </c>
      <c r="G1505" s="2" t="s">
        <v>21</v>
      </c>
      <c r="H1505" s="4" t="str">
        <f>HYPERLINK("https://kandianshare.html5.qq.com/v2/news/850326230996986178","https://kandianshare.html5.qq.com/v2/news/850326230996986178")</f>
        <v>https://kandianshare.html5.qq.com/v2/news/850326230996986178</v>
      </c>
      <c r="I1505" s="3" t="s">
        <v>2216</v>
      </c>
      <c r="J1505" t="s">
        <v>16</v>
      </c>
    </row>
    <row r="1506" ht="23" customHeight="1" spans="1:10">
      <c r="A1506" s="2">
        <v>1505</v>
      </c>
      <c r="B1506" s="3" t="s">
        <v>2199</v>
      </c>
      <c r="C1506" s="2" t="s">
        <v>2219</v>
      </c>
      <c r="D1506" s="2" t="s">
        <v>41</v>
      </c>
      <c r="E1506" s="2" t="s">
        <v>20</v>
      </c>
      <c r="F1506" s="2" t="s">
        <v>13</v>
      </c>
      <c r="G1506" s="2" t="s">
        <v>21</v>
      </c>
      <c r="H1506" s="4" t="str">
        <f>HYPERLINK("https://baijiahao.baidu.com/s?id=1824750348390444250","https://baijiahao.baidu.com/s?id=1824750348390444250")</f>
        <v>https://baijiahao.baidu.com/s?id=1824750348390444250</v>
      </c>
      <c r="I1506" s="3" t="s">
        <v>2216</v>
      </c>
      <c r="J1506" t="s">
        <v>16</v>
      </c>
    </row>
    <row r="1507" ht="23" customHeight="1" spans="1:10">
      <c r="A1507" s="2">
        <v>1506</v>
      </c>
      <c r="B1507" s="3" t="s">
        <v>2199</v>
      </c>
      <c r="C1507" s="2" t="s">
        <v>2220</v>
      </c>
      <c r="D1507" s="2" t="s">
        <v>43</v>
      </c>
      <c r="E1507" s="2" t="s">
        <v>473</v>
      </c>
      <c r="F1507" s="2" t="s">
        <v>13</v>
      </c>
      <c r="G1507" s="2" t="s">
        <v>21</v>
      </c>
      <c r="H1507" s="4" t="str">
        <f>HYPERLINK("https://www.shobserver.com/staticsg/res/html/web/newsDetail.html?id=864268","https://www.shobserver.com/staticsg/res/html/web/newsDetail.html?id=864268")</f>
        <v>https://www.shobserver.com/staticsg/res/html/web/newsDetail.html?id=864268</v>
      </c>
      <c r="I1507" s="3" t="s">
        <v>2216</v>
      </c>
      <c r="J1507" t="s">
        <v>16</v>
      </c>
    </row>
    <row r="1508" ht="23" customHeight="1" spans="1:10">
      <c r="A1508" s="2">
        <v>1507</v>
      </c>
      <c r="B1508" s="3" t="s">
        <v>2199</v>
      </c>
      <c r="C1508" s="2" t="s">
        <v>2220</v>
      </c>
      <c r="D1508" s="2" t="s">
        <v>43</v>
      </c>
      <c r="E1508" s="2" t="s">
        <v>473</v>
      </c>
      <c r="F1508" s="2" t="s">
        <v>13</v>
      </c>
      <c r="G1508" s="2" t="s">
        <v>21</v>
      </c>
      <c r="H1508" s="4" t="str">
        <f>HYPERLINK("https://www.jfdaily.com.cn/staticsg/res/html/web/newsDetail.html?id=864268","https://www.jfdaily.com.cn/staticsg/res/html/web/newsDetail.html?id=864268")</f>
        <v>https://www.jfdaily.com.cn/staticsg/res/html/web/newsDetail.html?id=864268</v>
      </c>
      <c r="I1508" s="3" t="s">
        <v>2169</v>
      </c>
      <c r="J1508" t="s">
        <v>16</v>
      </c>
    </row>
    <row r="1509" ht="23" customHeight="1" spans="1:10">
      <c r="A1509" s="2">
        <v>1508</v>
      </c>
      <c r="B1509" s="3" t="s">
        <v>2199</v>
      </c>
      <c r="C1509" s="2" t="s">
        <v>2221</v>
      </c>
      <c r="D1509" s="2" t="s">
        <v>334</v>
      </c>
      <c r="E1509" s="2" t="s">
        <v>334</v>
      </c>
      <c r="F1509" s="2" t="s">
        <v>37</v>
      </c>
      <c r="G1509" s="2" t="s">
        <v>26</v>
      </c>
      <c r="H1509" s="4" t="str">
        <f>HYPERLINK("https://j.021east.com/m/1740221057049782","https://j.021east.com/m/1740221057049782")</f>
        <v>https://j.021east.com/m/1740221057049782</v>
      </c>
      <c r="I1509" s="3" t="s">
        <v>2169</v>
      </c>
      <c r="J1509" t="s">
        <v>16</v>
      </c>
    </row>
    <row r="1510" ht="23" customHeight="1" spans="1:10">
      <c r="A1510" s="2">
        <v>1509</v>
      </c>
      <c r="B1510" s="3" t="s">
        <v>2199</v>
      </c>
      <c r="C1510" s="2" t="s">
        <v>2221</v>
      </c>
      <c r="D1510" s="2" t="s">
        <v>20</v>
      </c>
      <c r="E1510" s="2" t="s">
        <v>473</v>
      </c>
      <c r="F1510" s="2" t="s">
        <v>37</v>
      </c>
      <c r="G1510" s="2" t="s">
        <v>21</v>
      </c>
      <c r="H1510" s="4" t="str">
        <f>HYPERLINK("https://services.shobserver.com/news/viewNewsDetail?id=864268","https://services.shobserver.com/news/viewNewsDetail?id=864268")</f>
        <v>https://services.shobserver.com/news/viewNewsDetail?id=864268</v>
      </c>
      <c r="I1510" s="3" t="s">
        <v>2216</v>
      </c>
      <c r="J1510" t="s">
        <v>16</v>
      </c>
    </row>
    <row r="1511" ht="23" customHeight="1" spans="1:10">
      <c r="A1511" s="2">
        <v>1510</v>
      </c>
      <c r="B1511" s="3" t="s">
        <v>2199</v>
      </c>
      <c r="C1511" s="2" t="s">
        <v>2221</v>
      </c>
      <c r="D1511" s="2" t="s">
        <v>43</v>
      </c>
      <c r="E1511" s="2" t="s">
        <v>43</v>
      </c>
      <c r="F1511" s="2" t="s">
        <v>37</v>
      </c>
      <c r="G1511" s="2" t="s">
        <v>21</v>
      </c>
      <c r="H1511" s="4" t="str">
        <f>HYPERLINK("https://export.shobserver.com/baijiahao/html/864268.html","https://export.shobserver.com/baijiahao/html/864268.html")</f>
        <v>https://export.shobserver.com/baijiahao/html/864268.html</v>
      </c>
      <c r="I1511" s="3" t="s">
        <v>2169</v>
      </c>
      <c r="J1511" t="s">
        <v>16</v>
      </c>
    </row>
    <row r="1512" ht="23" customHeight="1" spans="1:10">
      <c r="A1512" s="2">
        <v>1511</v>
      </c>
      <c r="B1512" s="3" t="s">
        <v>2199</v>
      </c>
      <c r="C1512" s="2" t="s">
        <v>2221</v>
      </c>
      <c r="D1512" s="2" t="s">
        <v>71</v>
      </c>
      <c r="E1512" s="2" t="s">
        <v>71</v>
      </c>
      <c r="F1512" s="2" t="s">
        <v>13</v>
      </c>
      <c r="G1512" s="2" t="s">
        <v>21</v>
      </c>
      <c r="H1512" s="4" t="str">
        <f>HYPERLINK("https://j.eastday.com/p/1740221057049782","https://j.eastday.com/p/1740221057049782")</f>
        <v>https://j.eastday.com/p/1740221057049782</v>
      </c>
      <c r="I1512" s="3" t="s">
        <v>2169</v>
      </c>
      <c r="J1512" t="s">
        <v>16</v>
      </c>
    </row>
    <row r="1513" ht="23" customHeight="1" spans="1:10">
      <c r="A1513" s="2">
        <v>1512</v>
      </c>
      <c r="B1513" s="3" t="s">
        <v>2222</v>
      </c>
      <c r="C1513" s="2" t="s">
        <v>2223</v>
      </c>
      <c r="D1513" s="2" t="s">
        <v>91</v>
      </c>
      <c r="E1513" s="2" t="s">
        <v>92</v>
      </c>
      <c r="F1513" s="2" t="s">
        <v>91</v>
      </c>
      <c r="G1513" s="2" t="s">
        <v>26</v>
      </c>
      <c r="H1513" s="4" t="str">
        <f>HYPERLINK("http://mp.weixin.qq.com/s?__biz=MjM5NzAwMDg3Ng==&amp;mid=2650893995&amp;idx=1&amp;sn=37d7747d37f990bc39ea4e23203ce917","http://mp.weixin.qq.com/s?__biz=MjM5NzAwMDg3Ng==&amp;mid=2650893995&amp;idx=1&amp;sn=37d7747d37f990bc39ea4e23203ce917")</f>
        <v>http://mp.weixin.qq.com/s?__biz=MjM5NzAwMDg3Ng==&amp;mid=2650893995&amp;idx=1&amp;sn=37d7747d37f990bc39ea4e23203ce917</v>
      </c>
      <c r="I1513" s="3" t="s">
        <v>2224</v>
      </c>
      <c r="J1513" t="s">
        <v>16</v>
      </c>
    </row>
    <row r="1514" ht="23" customHeight="1" spans="1:10">
      <c r="A1514" s="2">
        <v>1513</v>
      </c>
      <c r="B1514" s="3" t="s">
        <v>2222</v>
      </c>
      <c r="C1514" s="2" t="s">
        <v>2225</v>
      </c>
      <c r="D1514" s="2" t="s">
        <v>46</v>
      </c>
      <c r="E1514" s="2" t="s">
        <v>618</v>
      </c>
      <c r="F1514" s="2" t="s">
        <v>37</v>
      </c>
      <c r="G1514" s="2" t="s">
        <v>26</v>
      </c>
      <c r="H1514" s="4" t="str">
        <f>HYPERLINK("https://3g.k.sohu.com/t/n863509490?serialId=db982b582677323add32a5c1a3213623&amp;showType=863509490","https://3g.k.sohu.com/t/n863509490?serialId=db982b582677323add32a5c1a3213623&amp;showType=863509490")</f>
        <v>https://3g.k.sohu.com/t/n863509490?serialId=db982b582677323add32a5c1a3213623&amp;showType=863509490</v>
      </c>
      <c r="I1514" s="3" t="s">
        <v>2226</v>
      </c>
      <c r="J1514" t="s">
        <v>16</v>
      </c>
    </row>
    <row r="1515" ht="23" customHeight="1" spans="1:10">
      <c r="A1515" s="2">
        <v>1514</v>
      </c>
      <c r="B1515" s="3" t="s">
        <v>2227</v>
      </c>
      <c r="C1515" s="2" t="s">
        <v>2228</v>
      </c>
      <c r="D1515" s="2" t="s">
        <v>19</v>
      </c>
      <c r="E1515" s="2" t="s">
        <v>2229</v>
      </c>
      <c r="F1515" s="2" t="s">
        <v>37</v>
      </c>
      <c r="G1515" s="2" t="s">
        <v>21</v>
      </c>
      <c r="H1515" s="4" t="str">
        <f>HYPERLINK("https://c.m.163.com/news/a/JOBUHJRE0514EGPO.html","https://c.m.163.com/news/a/JOBUHJRE0514EGPO.html")</f>
        <v>https://c.m.163.com/news/a/JOBUHJRE0514EGPO.html</v>
      </c>
      <c r="I1515" s="3" t="s">
        <v>2230</v>
      </c>
      <c r="J1515" t="s">
        <v>16</v>
      </c>
    </row>
    <row r="1516" ht="23" customHeight="1" spans="1:10">
      <c r="A1516" s="2">
        <v>1515</v>
      </c>
      <c r="B1516" s="3" t="s">
        <v>2227</v>
      </c>
      <c r="C1516" s="2" t="s">
        <v>2231</v>
      </c>
      <c r="D1516" s="2" t="s">
        <v>34</v>
      </c>
      <c r="E1516" s="2" t="s">
        <v>2229</v>
      </c>
      <c r="F1516" s="2" t="s">
        <v>13</v>
      </c>
      <c r="G1516" s="2" t="s">
        <v>21</v>
      </c>
      <c r="H1516" s="4" t="str">
        <f>HYPERLINK("https://kandianshare.html5.qq.com/v2/news/2858930047720960322","https://kandianshare.html5.qq.com/v2/news/2858930047720960322")</f>
        <v>https://kandianshare.html5.qq.com/v2/news/2858930047720960322</v>
      </c>
      <c r="I1516" s="3" t="s">
        <v>2230</v>
      </c>
      <c r="J1516" t="s">
        <v>16</v>
      </c>
    </row>
    <row r="1517" ht="23" customHeight="1" spans="1:10">
      <c r="A1517" s="2">
        <v>1516</v>
      </c>
      <c r="B1517" s="3" t="s">
        <v>2227</v>
      </c>
      <c r="C1517" s="2" t="s">
        <v>2232</v>
      </c>
      <c r="D1517" s="2" t="s">
        <v>29</v>
      </c>
      <c r="E1517" s="2" t="s">
        <v>2233</v>
      </c>
      <c r="F1517" s="2" t="s">
        <v>13</v>
      </c>
      <c r="G1517" s="2" t="s">
        <v>21</v>
      </c>
      <c r="H1517" s="4" t="str">
        <f>HYPERLINK("https://finance.sina.cn/2025-02-13/detail-inekivrw0600920.d.html","https://finance.sina.cn/2025-02-13/detail-inekivrw0600920.d.html")</f>
        <v>https://finance.sina.cn/2025-02-13/detail-inekivrw0600920.d.html</v>
      </c>
      <c r="I1517" s="3" t="s">
        <v>2234</v>
      </c>
      <c r="J1517" t="s">
        <v>16</v>
      </c>
    </row>
    <row r="1518" ht="23" customHeight="1" spans="1:10">
      <c r="A1518" s="2">
        <v>1517</v>
      </c>
      <c r="B1518" s="3" t="s">
        <v>2227</v>
      </c>
      <c r="C1518" s="2" t="s">
        <v>2232</v>
      </c>
      <c r="D1518" s="2" t="s">
        <v>107</v>
      </c>
      <c r="E1518" s="2" t="s">
        <v>2233</v>
      </c>
      <c r="F1518" s="2" t="s">
        <v>13</v>
      </c>
      <c r="G1518" s="2" t="s">
        <v>21</v>
      </c>
      <c r="H1518" s="4" t="str">
        <f>HYPERLINK("https://k.sina.cn/article_6145283913_16e499749020024wyk.html","https://k.sina.cn/article_6145283913_16e499749020024wyk.html")</f>
        <v>https://k.sina.cn/article_6145283913_16e499749020024wyk.html</v>
      </c>
      <c r="I1518" s="3" t="s">
        <v>2230</v>
      </c>
      <c r="J1518" t="s">
        <v>16</v>
      </c>
    </row>
    <row r="1519" ht="23" customHeight="1" spans="1:10">
      <c r="A1519" s="2">
        <v>1518</v>
      </c>
      <c r="B1519" s="3" t="s">
        <v>2227</v>
      </c>
      <c r="C1519" s="2" t="s">
        <v>2235</v>
      </c>
      <c r="D1519" s="2" t="s">
        <v>46</v>
      </c>
      <c r="E1519" s="2" t="s">
        <v>2229</v>
      </c>
      <c r="F1519" s="2" t="s">
        <v>37</v>
      </c>
      <c r="G1519" s="2" t="s">
        <v>21</v>
      </c>
      <c r="H1519" s="4" t="str">
        <f>HYPERLINK("https://3g.k.sohu.com/t/n862857241?serialId=097820bd8a45fb451b174eb640ca4d83&amp;showType=862857241","https://3g.k.sohu.com/t/n862857241?serialId=097820bd8a45fb451b174eb640ca4d83&amp;showType=862857241")</f>
        <v>https://3g.k.sohu.com/t/n862857241?serialId=097820bd8a45fb451b174eb640ca4d83&amp;showType=862857241</v>
      </c>
      <c r="I1519" s="3" t="s">
        <v>2230</v>
      </c>
      <c r="J1519" t="s">
        <v>16</v>
      </c>
    </row>
    <row r="1520" ht="23" customHeight="1" spans="1:10">
      <c r="A1520" s="2">
        <v>1519</v>
      </c>
      <c r="B1520" s="3" t="s">
        <v>2227</v>
      </c>
      <c r="C1520" s="2" t="s">
        <v>2235</v>
      </c>
      <c r="D1520" s="2" t="s">
        <v>46</v>
      </c>
      <c r="E1520" s="2" t="s">
        <v>2229</v>
      </c>
      <c r="F1520" s="2" t="s">
        <v>13</v>
      </c>
      <c r="G1520" s="2" t="s">
        <v>21</v>
      </c>
      <c r="H1520" s="4" t="str">
        <f>HYPERLINK("https://www.sohu.com/a/858818030_121282114","https://www.sohu.com/a/858818030_121282114")</f>
        <v>https://www.sohu.com/a/858818030_121282114</v>
      </c>
      <c r="I1520" s="3" t="s">
        <v>2236</v>
      </c>
      <c r="J1520" t="s">
        <v>16</v>
      </c>
    </row>
    <row r="1521" ht="23" customHeight="1" spans="1:10">
      <c r="A1521" s="2">
        <v>1520</v>
      </c>
      <c r="B1521" s="3" t="s">
        <v>2227</v>
      </c>
      <c r="C1521" s="2" t="s">
        <v>2237</v>
      </c>
      <c r="D1521" s="2" t="s">
        <v>387</v>
      </c>
      <c r="E1521" s="2" t="s">
        <v>170</v>
      </c>
      <c r="F1521" s="2" t="s">
        <v>13</v>
      </c>
      <c r="G1521" s="2" t="s">
        <v>21</v>
      </c>
      <c r="H1521" s="4" t="str">
        <f>HYPERLINK("https://qlwb.com.cn/detail/25658395.html","https://qlwb.com.cn/detail/25658395.html")</f>
        <v>https://qlwb.com.cn/detail/25658395.html</v>
      </c>
      <c r="I1521" s="3" t="s">
        <v>2236</v>
      </c>
      <c r="J1521" t="s">
        <v>16</v>
      </c>
    </row>
    <row r="1522" ht="23" customHeight="1" spans="1:10">
      <c r="A1522" s="2">
        <v>1521</v>
      </c>
      <c r="B1522" s="3" t="s">
        <v>2227</v>
      </c>
      <c r="C1522" s="2" t="s">
        <v>2237</v>
      </c>
      <c r="D1522" s="2" t="s">
        <v>379</v>
      </c>
      <c r="E1522" s="2" t="s">
        <v>2229</v>
      </c>
      <c r="F1522" s="2" t="s">
        <v>13</v>
      </c>
      <c r="G1522" s="2" t="s">
        <v>21</v>
      </c>
      <c r="H1522" s="4" t="str">
        <f>HYPERLINK("http://www.yidianzixun.com/article/0zMMBnxy","http://www.yidianzixun.com/article/0zMMBnxy")</f>
        <v>http://www.yidianzixun.com/article/0zMMBnxy</v>
      </c>
      <c r="I1522" s="3" t="s">
        <v>2230</v>
      </c>
      <c r="J1522" t="s">
        <v>16</v>
      </c>
    </row>
    <row r="1523" ht="23" customHeight="1" spans="1:10">
      <c r="A1523" s="2">
        <v>1522</v>
      </c>
      <c r="B1523" s="3" t="s">
        <v>2227</v>
      </c>
      <c r="C1523" s="2" t="s">
        <v>2237</v>
      </c>
      <c r="D1523" s="2" t="s">
        <v>170</v>
      </c>
      <c r="E1523" s="2" t="s">
        <v>170</v>
      </c>
      <c r="F1523" s="2" t="s">
        <v>13</v>
      </c>
      <c r="G1523" s="2" t="s">
        <v>21</v>
      </c>
      <c r="H1523" s="4" t="str">
        <f>HYPERLINK("https://www.kankanews.com/detail/7my5MxWmoy9","https://www.kankanews.com/detail/7my5MxWmoy9")</f>
        <v>https://www.kankanews.com/detail/7my5MxWmoy9</v>
      </c>
      <c r="I1523" s="3" t="s">
        <v>2230</v>
      </c>
      <c r="J1523" t="s">
        <v>16</v>
      </c>
    </row>
    <row r="1524" ht="23" customHeight="1" spans="1:10">
      <c r="A1524" s="2">
        <v>1523</v>
      </c>
      <c r="B1524" s="3" t="s">
        <v>2238</v>
      </c>
      <c r="C1524" s="2" t="s">
        <v>2239</v>
      </c>
      <c r="D1524" s="2" t="s">
        <v>353</v>
      </c>
      <c r="E1524" s="2" t="s">
        <v>2240</v>
      </c>
      <c r="F1524" s="2" t="s">
        <v>354</v>
      </c>
      <c r="G1524" s="2" t="s">
        <v>26</v>
      </c>
      <c r="H1524" s="4" t="str">
        <f>HYPERLINK("https://weibo.com/6577842450/PbkdTp7yo","https://weibo.com/6577842450/PbkdTp7yo")</f>
        <v>https://weibo.com/6577842450/PbkdTp7yo</v>
      </c>
      <c r="I1524" s="3" t="s">
        <v>2241</v>
      </c>
      <c r="J1524" t="s">
        <v>16</v>
      </c>
    </row>
    <row r="1525" ht="23" customHeight="1" spans="1:10">
      <c r="A1525" s="2">
        <v>1524</v>
      </c>
      <c r="B1525" s="3" t="s">
        <v>2242</v>
      </c>
      <c r="C1525" s="2" t="s">
        <v>2243</v>
      </c>
      <c r="D1525" s="2" t="s">
        <v>41</v>
      </c>
      <c r="E1525" s="2" t="s">
        <v>126</v>
      </c>
      <c r="F1525" s="2" t="s">
        <v>13</v>
      </c>
      <c r="G1525" s="2" t="s">
        <v>21</v>
      </c>
      <c r="H1525" s="4" t="str">
        <f>HYPERLINK("https://baijiahao.baidu.com/s?id=1822166991174884408","https://baijiahao.baidu.com/s?id=1822166991174884408")</f>
        <v>https://baijiahao.baidu.com/s?id=1822166991174884408</v>
      </c>
      <c r="I1525" s="3" t="s">
        <v>2244</v>
      </c>
      <c r="J1525" t="s">
        <v>16</v>
      </c>
    </row>
    <row r="1526" ht="23" customHeight="1" spans="1:10">
      <c r="A1526" s="2">
        <v>1525</v>
      </c>
      <c r="B1526" s="3" t="s">
        <v>2242</v>
      </c>
      <c r="C1526" s="2" t="s">
        <v>2245</v>
      </c>
      <c r="D1526" s="2" t="s">
        <v>81</v>
      </c>
      <c r="E1526" s="2" t="s">
        <v>925</v>
      </c>
      <c r="F1526" s="2" t="s">
        <v>37</v>
      </c>
      <c r="G1526" s="2" t="s">
        <v>21</v>
      </c>
      <c r="H1526" s="4" t="str">
        <f>HYPERLINK("https://m.thepaper.cn/newsDetail_forward_30025692","https://m.thepaper.cn/newsDetail_forward_30025692")</f>
        <v>https://m.thepaper.cn/newsDetail_forward_30025692</v>
      </c>
      <c r="I1526" s="3" t="s">
        <v>2246</v>
      </c>
      <c r="J1526" t="s">
        <v>16</v>
      </c>
    </row>
    <row r="1527" ht="23" customHeight="1" spans="1:10">
      <c r="A1527" s="2">
        <v>1526</v>
      </c>
      <c r="B1527" s="3" t="s">
        <v>2242</v>
      </c>
      <c r="C1527" s="2" t="s">
        <v>2245</v>
      </c>
      <c r="D1527" s="2" t="s">
        <v>81</v>
      </c>
      <c r="E1527" s="2" t="s">
        <v>81</v>
      </c>
      <c r="F1527" s="2" t="s">
        <v>13</v>
      </c>
      <c r="G1527" s="2" t="s">
        <v>21</v>
      </c>
      <c r="H1527" s="4" t="str">
        <f>HYPERLINK("https://www.thepaper.cn/newsDetail_forward_30025692","https://www.thepaper.cn/newsDetail_forward_30025692")</f>
        <v>https://www.thepaper.cn/newsDetail_forward_30025692</v>
      </c>
      <c r="I1527" s="3" t="s">
        <v>2246</v>
      </c>
      <c r="J1527" t="s">
        <v>16</v>
      </c>
    </row>
    <row r="1528" ht="23" customHeight="1" spans="1:10">
      <c r="A1528" s="2">
        <v>1527</v>
      </c>
      <c r="B1528" s="3" t="s">
        <v>2242</v>
      </c>
      <c r="C1528" s="2" t="s">
        <v>2247</v>
      </c>
      <c r="D1528" s="2" t="s">
        <v>334</v>
      </c>
      <c r="E1528" s="2" t="s">
        <v>334</v>
      </c>
      <c r="F1528" s="2" t="s">
        <v>37</v>
      </c>
      <c r="G1528" s="2" t="s">
        <v>26</v>
      </c>
      <c r="H1528" s="4" t="str">
        <f>HYPERLINK("https://j.021east.com/m/1737698617045288","https://j.021east.com/m/1737698617045288")</f>
        <v>https://j.021east.com/m/1737698617045288</v>
      </c>
      <c r="I1528" s="3" t="s">
        <v>2248</v>
      </c>
      <c r="J1528" t="s">
        <v>16</v>
      </c>
    </row>
    <row r="1529" ht="23" customHeight="1" spans="1:10">
      <c r="A1529" s="2">
        <v>1528</v>
      </c>
      <c r="B1529" s="3" t="s">
        <v>2242</v>
      </c>
      <c r="C1529" s="2" t="s">
        <v>2249</v>
      </c>
      <c r="D1529" s="2" t="s">
        <v>41</v>
      </c>
      <c r="E1529" s="2" t="s">
        <v>126</v>
      </c>
      <c r="F1529" s="2" t="s">
        <v>13</v>
      </c>
      <c r="G1529" s="2" t="s">
        <v>21</v>
      </c>
      <c r="H1529" s="4" t="str">
        <f>HYPERLINK("https://baijiahao.baidu.com/s?id=1822103966879426426","https://baijiahao.baidu.com/s?id=1822103966879426426")</f>
        <v>https://baijiahao.baidu.com/s?id=1822103966879426426</v>
      </c>
      <c r="I1529" s="3" t="s">
        <v>2250</v>
      </c>
      <c r="J1529" t="s">
        <v>16</v>
      </c>
    </row>
    <row r="1530" ht="23" customHeight="1" spans="1:10">
      <c r="A1530" s="2">
        <v>1529</v>
      </c>
      <c r="B1530" s="3" t="s">
        <v>2242</v>
      </c>
      <c r="C1530" s="2" t="s">
        <v>2251</v>
      </c>
      <c r="D1530" s="2" t="s">
        <v>19</v>
      </c>
      <c r="E1530" s="2" t="s">
        <v>20</v>
      </c>
      <c r="F1530" s="2" t="s">
        <v>37</v>
      </c>
      <c r="G1530" s="2" t="s">
        <v>21</v>
      </c>
      <c r="H1530" s="4" t="str">
        <f>HYPERLINK("https://c.m.163.com/news/a/JMLTEQSN055040N3.html","https://c.m.163.com/news/a/JMLTEQSN055040N3.html")</f>
        <v>https://c.m.163.com/news/a/JMLTEQSN055040N3.html</v>
      </c>
      <c r="I1530" s="3" t="s">
        <v>2252</v>
      </c>
      <c r="J1530" t="s">
        <v>16</v>
      </c>
    </row>
    <row r="1531" ht="23" customHeight="1" spans="1:10">
      <c r="A1531" s="2">
        <v>1530</v>
      </c>
      <c r="B1531" s="3" t="s">
        <v>2242</v>
      </c>
      <c r="C1531" s="2" t="s">
        <v>2253</v>
      </c>
      <c r="D1531" s="2" t="s">
        <v>41</v>
      </c>
      <c r="E1531" s="2" t="s">
        <v>20</v>
      </c>
      <c r="F1531" s="2" t="s">
        <v>13</v>
      </c>
      <c r="G1531" s="2" t="s">
        <v>21</v>
      </c>
      <c r="H1531" s="4" t="str">
        <f>HYPERLINK("https://baijiahao.baidu.com/s?id=1822101400538999992","https://baijiahao.baidu.com/s?id=1822101400538999992")</f>
        <v>https://baijiahao.baidu.com/s?id=1822101400538999992</v>
      </c>
      <c r="I1531" s="3" t="s">
        <v>2254</v>
      </c>
      <c r="J1531" t="s">
        <v>16</v>
      </c>
    </row>
    <row r="1532" ht="23" customHeight="1" spans="1:10">
      <c r="A1532" s="2">
        <v>1531</v>
      </c>
      <c r="B1532" s="3" t="s">
        <v>2242</v>
      </c>
      <c r="C1532" s="2" t="s">
        <v>2255</v>
      </c>
      <c r="D1532" s="2" t="s">
        <v>11</v>
      </c>
      <c r="E1532" s="2" t="s">
        <v>20</v>
      </c>
      <c r="F1532" s="2" t="s">
        <v>13</v>
      </c>
      <c r="G1532" s="2" t="s">
        <v>21</v>
      </c>
      <c r="H1532" s="4" t="str">
        <f>HYPERLINK("https://www.toutiao.com/article/7463319326603739648/","https://www.toutiao.com/article/7463319326603739648/")</f>
        <v>https://www.toutiao.com/article/7463319326603739648/</v>
      </c>
      <c r="I1532" s="3" t="s">
        <v>2256</v>
      </c>
      <c r="J1532" t="s">
        <v>16</v>
      </c>
    </row>
    <row r="1533" ht="23" customHeight="1" spans="1:10">
      <c r="A1533" s="2">
        <v>1532</v>
      </c>
      <c r="B1533" s="3" t="s">
        <v>2242</v>
      </c>
      <c r="C1533" s="2" t="s">
        <v>2257</v>
      </c>
      <c r="D1533" s="2" t="s">
        <v>81</v>
      </c>
      <c r="E1533" s="2" t="s">
        <v>81</v>
      </c>
      <c r="F1533" s="2" t="s">
        <v>13</v>
      </c>
      <c r="G1533" s="2" t="s">
        <v>21</v>
      </c>
      <c r="H1533" s="4" t="str">
        <f>HYPERLINK("https://www.thepaper.cn/newsDetail_forward_30016727","https://www.thepaper.cn/newsDetail_forward_30016727")</f>
        <v>https://www.thepaper.cn/newsDetail_forward_30016727</v>
      </c>
      <c r="I1533" s="3" t="s">
        <v>2246</v>
      </c>
      <c r="J1533" t="s">
        <v>16</v>
      </c>
    </row>
    <row r="1534" ht="23" customHeight="1" spans="1:10">
      <c r="A1534" s="2">
        <v>1533</v>
      </c>
      <c r="B1534" s="3" t="s">
        <v>2242</v>
      </c>
      <c r="C1534" s="2" t="s">
        <v>2258</v>
      </c>
      <c r="D1534" s="2" t="s">
        <v>81</v>
      </c>
      <c r="E1534" s="2" t="s">
        <v>925</v>
      </c>
      <c r="F1534" s="2" t="s">
        <v>37</v>
      </c>
      <c r="G1534" s="2" t="s">
        <v>21</v>
      </c>
      <c r="H1534" s="4" t="str">
        <f>HYPERLINK("https://m.thepaper.cn/newsDetail_forward_30016727","https://m.thepaper.cn/newsDetail_forward_30016727")</f>
        <v>https://m.thepaper.cn/newsDetail_forward_30016727</v>
      </c>
      <c r="I1534" s="3" t="s">
        <v>2246</v>
      </c>
      <c r="J1534" t="s">
        <v>16</v>
      </c>
    </row>
    <row r="1535" ht="23" customHeight="1" spans="1:10">
      <c r="A1535" s="2">
        <v>1534</v>
      </c>
      <c r="B1535" s="3" t="s">
        <v>2259</v>
      </c>
      <c r="C1535" s="2" t="s">
        <v>2260</v>
      </c>
      <c r="D1535" s="2" t="s">
        <v>34</v>
      </c>
      <c r="E1535" s="2" t="s">
        <v>2261</v>
      </c>
      <c r="F1535" s="2" t="s">
        <v>13</v>
      </c>
      <c r="G1535" s="2" t="s">
        <v>21</v>
      </c>
      <c r="H1535" s="4" t="str">
        <f>HYPERLINK("https://kandianshare.html5.qq.com/v2/news/4921574860292344130","https://kandianshare.html5.qq.com/v2/news/4921574860292344130")</f>
        <v>https://kandianshare.html5.qq.com/v2/news/4921574860292344130</v>
      </c>
      <c r="I1535" s="3" t="s">
        <v>2262</v>
      </c>
      <c r="J1535" t="s">
        <v>16</v>
      </c>
    </row>
    <row r="1536" ht="23" customHeight="1" spans="1:10">
      <c r="A1536" s="2">
        <v>1535</v>
      </c>
      <c r="B1536" s="3" t="s">
        <v>2259</v>
      </c>
      <c r="C1536" s="2" t="s">
        <v>2263</v>
      </c>
      <c r="D1536" s="2" t="s">
        <v>450</v>
      </c>
      <c r="E1536" s="2" t="s">
        <v>2261</v>
      </c>
      <c r="F1536" s="2" t="s">
        <v>13</v>
      </c>
      <c r="G1536" s="2" t="s">
        <v>21</v>
      </c>
      <c r="H1536" s="4" t="str">
        <f>HYPERLINK("http://a.mp.uc.cn/article.html?uc_param_str=frdnsnpfvecpntnwprdssskt&amp;wm_cid=666023788539808768","http://a.mp.uc.cn/article.html?uc_param_str=frdnsnpfvecpntnwprdssskt&amp;wm_cid=666023788539808768")</f>
        <v>http://a.mp.uc.cn/article.html?uc_param_str=frdnsnpfvecpntnwprdssskt&amp;wm_cid=666023788539808768</v>
      </c>
      <c r="I1536" s="3" t="s">
        <v>2264</v>
      </c>
      <c r="J1536" t="s">
        <v>16</v>
      </c>
    </row>
    <row r="1537" ht="23" customHeight="1" spans="1:10">
      <c r="A1537" s="2">
        <v>1536</v>
      </c>
      <c r="B1537" s="3" t="s">
        <v>2259</v>
      </c>
      <c r="C1537" s="2" t="s">
        <v>2263</v>
      </c>
      <c r="D1537" s="2" t="s">
        <v>1251</v>
      </c>
      <c r="E1537" s="2" t="s">
        <v>2265</v>
      </c>
      <c r="F1537" s="2" t="s">
        <v>37</v>
      </c>
      <c r="G1537" s="2" t="s">
        <v>26</v>
      </c>
      <c r="H1537" s="4" t="str">
        <f>HYPERLINK("http://m.uczzd.cn/ucnews/news?aid=357506319914066423","http://m.uczzd.cn/ucnews/news?aid=357506319914066423")</f>
        <v>http://m.uczzd.cn/ucnews/news?aid=357506319914066423</v>
      </c>
      <c r="I1537" s="3" t="s">
        <v>2264</v>
      </c>
      <c r="J1537" t="s">
        <v>16</v>
      </c>
    </row>
    <row r="1538" ht="23" customHeight="1" spans="1:10">
      <c r="A1538" s="2">
        <v>1537</v>
      </c>
      <c r="B1538" s="3" t="s">
        <v>2259</v>
      </c>
      <c r="C1538" s="2" t="s">
        <v>2266</v>
      </c>
      <c r="D1538" s="2" t="s">
        <v>2261</v>
      </c>
      <c r="E1538" s="2" t="s">
        <v>2261</v>
      </c>
      <c r="F1538" s="2" t="s">
        <v>13</v>
      </c>
      <c r="G1538" s="2" t="s">
        <v>21</v>
      </c>
      <c r="H1538" s="4" t="str">
        <f>HYPERLINK("https://www.bjnews.com.cn/detail/1737626454168496.html","https://www.bjnews.com.cn/detail/1737626454168496.html")</f>
        <v>https://www.bjnews.com.cn/detail/1737626454168496.html</v>
      </c>
      <c r="I1538" s="3" t="s">
        <v>2267</v>
      </c>
      <c r="J1538" t="s">
        <v>16</v>
      </c>
    </row>
    <row r="1539" ht="23" customHeight="1" spans="1:10">
      <c r="A1539" s="2">
        <v>1538</v>
      </c>
      <c r="B1539" s="3" t="s">
        <v>2268</v>
      </c>
      <c r="C1539" s="2" t="s">
        <v>2269</v>
      </c>
      <c r="D1539" s="2" t="s">
        <v>1226</v>
      </c>
      <c r="E1539" s="2" t="s">
        <v>81</v>
      </c>
      <c r="F1539" s="2" t="s">
        <v>13</v>
      </c>
      <c r="G1539" s="2" t="s">
        <v>21</v>
      </c>
      <c r="H1539" s="4" t="str">
        <f>HYPERLINK("https://edu.sina.com.cn/gaokao/2025-01-23/doc-inefyeaw7888873.shtml","https://edu.sina.com.cn/gaokao/2025-01-23/doc-inefyeaw7888873.shtml")</f>
        <v>https://edu.sina.com.cn/gaokao/2025-01-23/doc-inefyeaw7888873.shtml</v>
      </c>
      <c r="I1539" s="3" t="s">
        <v>2270</v>
      </c>
      <c r="J1539" t="s">
        <v>16</v>
      </c>
    </row>
    <row r="1540" ht="23" customHeight="1" spans="1:10">
      <c r="A1540" s="2">
        <v>1539</v>
      </c>
      <c r="B1540" s="3" t="s">
        <v>2271</v>
      </c>
      <c r="C1540" s="2" t="s">
        <v>2272</v>
      </c>
      <c r="D1540" s="2" t="s">
        <v>41</v>
      </c>
      <c r="E1540" s="2" t="s">
        <v>20</v>
      </c>
      <c r="F1540" s="2" t="s">
        <v>13</v>
      </c>
      <c r="G1540" s="2" t="s">
        <v>21</v>
      </c>
      <c r="H1540" s="4" t="str">
        <f>HYPERLINK("https://baijiahao.baidu.com/s?id=1822029764153966890","https://baijiahao.baidu.com/s?id=1822029764153966890")</f>
        <v>https://baijiahao.baidu.com/s?id=1822029764153966890</v>
      </c>
      <c r="I1540" s="3" t="s">
        <v>2273</v>
      </c>
      <c r="J1540" t="s">
        <v>16</v>
      </c>
    </row>
    <row r="1541" ht="23" customHeight="1" spans="1:10">
      <c r="A1541" s="2">
        <v>1540</v>
      </c>
      <c r="B1541" s="3" t="s">
        <v>2271</v>
      </c>
      <c r="C1541" s="2" t="s">
        <v>2274</v>
      </c>
      <c r="D1541" s="2" t="s">
        <v>11</v>
      </c>
      <c r="E1541" s="2" t="s">
        <v>20</v>
      </c>
      <c r="F1541" s="2" t="s">
        <v>13</v>
      </c>
      <c r="G1541" s="2" t="s">
        <v>21</v>
      </c>
      <c r="H1541" s="4" t="str">
        <f>HYPERLINK("https://www.toutiao.com/article/7463025665088995903/","https://www.toutiao.com/article/7463025665088995903/")</f>
        <v>https://www.toutiao.com/article/7463025665088995903/</v>
      </c>
      <c r="I1541" s="3" t="s">
        <v>2273</v>
      </c>
      <c r="J1541" t="s">
        <v>16</v>
      </c>
    </row>
    <row r="1542" ht="23" customHeight="1" spans="1:10">
      <c r="A1542" s="2">
        <v>1541</v>
      </c>
      <c r="B1542" s="3" t="s">
        <v>2275</v>
      </c>
      <c r="C1542" s="2" t="s">
        <v>2276</v>
      </c>
      <c r="D1542" s="2" t="s">
        <v>2277</v>
      </c>
      <c r="E1542" s="2" t="s">
        <v>2277</v>
      </c>
      <c r="F1542" s="2" t="s">
        <v>13</v>
      </c>
      <c r="G1542" s="2" t="s">
        <v>26</v>
      </c>
      <c r="H1542" s="4" t="str">
        <f>HYPERLINK("http://business.cycr.cn/jujiao/65908.html","http://business.cycr.cn/jujiao/65908.html")</f>
        <v>http://business.cycr.cn/jujiao/65908.html</v>
      </c>
      <c r="I1542" s="3" t="s">
        <v>2278</v>
      </c>
      <c r="J1542" t="s">
        <v>16</v>
      </c>
    </row>
    <row r="1543" ht="23" customHeight="1" spans="1:10">
      <c r="A1543" s="2">
        <v>1542</v>
      </c>
      <c r="B1543" s="3" t="s">
        <v>2275</v>
      </c>
      <c r="C1543" s="2" t="s">
        <v>2279</v>
      </c>
      <c r="D1543" s="2" t="s">
        <v>34</v>
      </c>
      <c r="E1543" s="2" t="s">
        <v>81</v>
      </c>
      <c r="F1543" s="2" t="s">
        <v>13</v>
      </c>
      <c r="G1543" s="2" t="s">
        <v>21</v>
      </c>
      <c r="H1543" s="4" t="str">
        <f>HYPERLINK("https://kandianshare.html5.qq.com/v2/news/1363731111753529666","https://kandianshare.html5.qq.com/v2/news/1363731111753529666")</f>
        <v>https://kandianshare.html5.qq.com/v2/news/1363731111753529666</v>
      </c>
      <c r="I1543" s="3" t="s">
        <v>2280</v>
      </c>
      <c r="J1543" t="s">
        <v>16</v>
      </c>
    </row>
    <row r="1544" ht="23" customHeight="1" spans="1:10">
      <c r="A1544" s="2">
        <v>1543</v>
      </c>
      <c r="B1544" s="3" t="s">
        <v>2275</v>
      </c>
      <c r="C1544" s="2" t="s">
        <v>2281</v>
      </c>
      <c r="D1544" s="2" t="s">
        <v>1801</v>
      </c>
      <c r="E1544" s="2" t="s">
        <v>81</v>
      </c>
      <c r="F1544" s="2" t="s">
        <v>37</v>
      </c>
      <c r="G1544" s="2" t="s">
        <v>26</v>
      </c>
      <c r="H1544" s="4" t="str">
        <f>HYPERLINK("https://news.baidu.com/app/articles/8466090859080931403","https://news.baidu.com/app/articles/8466090859080931403")</f>
        <v>https://news.baidu.com/app/articles/8466090859080931403</v>
      </c>
      <c r="I1544" s="3" t="s">
        <v>2280</v>
      </c>
      <c r="J1544" t="s">
        <v>16</v>
      </c>
    </row>
    <row r="1545" ht="23" customHeight="1" spans="1:10">
      <c r="A1545" s="2">
        <v>1544</v>
      </c>
      <c r="B1545" s="3" t="s">
        <v>2275</v>
      </c>
      <c r="C1545" s="2" t="s">
        <v>2282</v>
      </c>
      <c r="D1545" s="2" t="s">
        <v>46</v>
      </c>
      <c r="E1545" s="2" t="s">
        <v>81</v>
      </c>
      <c r="F1545" s="2" t="s">
        <v>37</v>
      </c>
      <c r="G1545" s="2" t="s">
        <v>21</v>
      </c>
      <c r="H1545" s="4" t="str">
        <f>HYPERLINK("https://3g.k.sohu.com/t/n857962900?serialId=7b58536a61f196698b32f82750b63d0f&amp;showType=857962900","https://3g.k.sohu.com/t/n857962900?serialId=7b58536a61f196698b32f82750b63d0f&amp;showType=857962900")</f>
        <v>https://3g.k.sohu.com/t/n857962900?serialId=7b58536a61f196698b32f82750b63d0f&amp;showType=857962900</v>
      </c>
      <c r="I1545" s="3" t="s">
        <v>2280</v>
      </c>
      <c r="J1545" t="s">
        <v>16</v>
      </c>
    </row>
    <row r="1546" ht="23" customHeight="1" spans="1:10">
      <c r="A1546" s="2">
        <v>1545</v>
      </c>
      <c r="B1546" s="3" t="s">
        <v>2275</v>
      </c>
      <c r="C1546" s="2" t="s">
        <v>2282</v>
      </c>
      <c r="D1546" s="2" t="s">
        <v>46</v>
      </c>
      <c r="E1546" s="2" t="s">
        <v>81</v>
      </c>
      <c r="F1546" s="2" t="s">
        <v>13</v>
      </c>
      <c r="G1546" s="2" t="s">
        <v>21</v>
      </c>
      <c r="H1546" s="4" t="str">
        <f>HYPERLINK("https://www.sohu.com/a/852386186_260616","https://www.sohu.com/a/852386186_260616")</f>
        <v>https://www.sohu.com/a/852386186_260616</v>
      </c>
      <c r="I1546" s="3" t="s">
        <v>2278</v>
      </c>
      <c r="J1546" t="s">
        <v>16</v>
      </c>
    </row>
    <row r="1547" ht="23" customHeight="1" spans="1:10">
      <c r="A1547" s="2">
        <v>1546</v>
      </c>
      <c r="B1547" s="3" t="s">
        <v>2275</v>
      </c>
      <c r="C1547" s="2" t="s">
        <v>2283</v>
      </c>
      <c r="D1547" s="2" t="s">
        <v>450</v>
      </c>
      <c r="E1547" s="2" t="s">
        <v>81</v>
      </c>
      <c r="F1547" s="2" t="s">
        <v>13</v>
      </c>
      <c r="G1547" s="2" t="s">
        <v>21</v>
      </c>
      <c r="H1547" s="4" t="str">
        <f>HYPERLINK("http://a.mp.uc.cn/article.html?uc_param_str=frdnsnpfvecpntnwprdssskt&amp;wm_cid=665980822154642432","http://a.mp.uc.cn/article.html?uc_param_str=frdnsnpfvecpntnwprdssskt&amp;wm_cid=665980822154642432")</f>
        <v>http://a.mp.uc.cn/article.html?uc_param_str=frdnsnpfvecpntnwprdssskt&amp;wm_cid=665980822154642432</v>
      </c>
      <c r="I1547" s="3" t="s">
        <v>2278</v>
      </c>
      <c r="J1547" t="s">
        <v>16</v>
      </c>
    </row>
    <row r="1548" ht="23" customHeight="1" spans="1:10">
      <c r="A1548" s="2">
        <v>1547</v>
      </c>
      <c r="B1548" s="3" t="s">
        <v>2275</v>
      </c>
      <c r="C1548" s="2" t="s">
        <v>2284</v>
      </c>
      <c r="D1548" s="2" t="s">
        <v>71</v>
      </c>
      <c r="E1548" s="2" t="s">
        <v>71</v>
      </c>
      <c r="F1548" s="2" t="s">
        <v>13</v>
      </c>
      <c r="G1548" s="2" t="s">
        <v>21</v>
      </c>
      <c r="H1548" s="4" t="str">
        <f>HYPERLINK("https://j.eastday.com/p/1737607228044230","https://j.eastday.com/p/1737607228044230")</f>
        <v>https://j.eastday.com/p/1737607228044230</v>
      </c>
      <c r="I1548" s="3" t="s">
        <v>2280</v>
      </c>
      <c r="J1548" t="s">
        <v>16</v>
      </c>
    </row>
    <row r="1549" ht="23" customHeight="1" spans="1:10">
      <c r="A1549" s="2">
        <v>1548</v>
      </c>
      <c r="B1549" s="3" t="s">
        <v>2275</v>
      </c>
      <c r="C1549" s="2" t="s">
        <v>2284</v>
      </c>
      <c r="D1549" s="2" t="s">
        <v>46</v>
      </c>
      <c r="E1549" s="2" t="s">
        <v>81</v>
      </c>
      <c r="F1549" s="2" t="s">
        <v>37</v>
      </c>
      <c r="G1549" s="2" t="s">
        <v>21</v>
      </c>
      <c r="H1549" s="4" t="str">
        <f>HYPERLINK("https://3g.k.sohu.com/t/n857963355?serialId=2a300436956e601c2a49814bd3079d1f&amp;showType=857963355","https://3g.k.sohu.com/t/n857963355?serialId=2a300436956e601c2a49814bd3079d1f&amp;showType=857963355")</f>
        <v>https://3g.k.sohu.com/t/n857963355?serialId=2a300436956e601c2a49814bd3079d1f&amp;showType=857963355</v>
      </c>
      <c r="I1549" s="3" t="s">
        <v>2280</v>
      </c>
      <c r="J1549" t="s">
        <v>16</v>
      </c>
    </row>
    <row r="1550" ht="23" customHeight="1" spans="1:10">
      <c r="A1550" s="2">
        <v>1549</v>
      </c>
      <c r="B1550" s="3" t="s">
        <v>2275</v>
      </c>
      <c r="C1550" s="2" t="s">
        <v>2284</v>
      </c>
      <c r="D1550" s="2" t="s">
        <v>491</v>
      </c>
      <c r="E1550" s="2" t="s">
        <v>81</v>
      </c>
      <c r="F1550" s="2" t="s">
        <v>13</v>
      </c>
      <c r="G1550" s="2" t="s">
        <v>21</v>
      </c>
      <c r="H1550" s="4" t="str">
        <f>HYPERLINK("https://ishare.ifeng.com/c/s/8gNJjRXi3mA","https://ishare.ifeng.com/c/s/8gNJjRXi3mA")</f>
        <v>https://ishare.ifeng.com/c/s/8gNJjRXi3mA</v>
      </c>
      <c r="I1550" s="3" t="s">
        <v>2280</v>
      </c>
      <c r="J1550" t="s">
        <v>16</v>
      </c>
    </row>
    <row r="1551" ht="23" customHeight="1" spans="1:10">
      <c r="A1551" s="2">
        <v>1550</v>
      </c>
      <c r="B1551" s="3" t="s">
        <v>2275</v>
      </c>
      <c r="C1551" s="2" t="s">
        <v>2284</v>
      </c>
      <c r="D1551" s="2" t="s">
        <v>41</v>
      </c>
      <c r="E1551" s="2" t="s">
        <v>81</v>
      </c>
      <c r="F1551" s="2" t="s">
        <v>13</v>
      </c>
      <c r="G1551" s="2" t="s">
        <v>21</v>
      </c>
      <c r="H1551" s="4" t="str">
        <f>HYPERLINK("https://baijiahao.baidu.com/s?id=1822011906656712163","https://baijiahao.baidu.com/s?id=1822011906656712163")</f>
        <v>https://baijiahao.baidu.com/s?id=1822011906656712163</v>
      </c>
      <c r="I1551" s="3" t="s">
        <v>2278</v>
      </c>
      <c r="J1551" t="s">
        <v>16</v>
      </c>
    </row>
    <row r="1552" ht="23" customHeight="1" spans="1:10">
      <c r="A1552" s="2">
        <v>1551</v>
      </c>
      <c r="B1552" s="3" t="s">
        <v>2285</v>
      </c>
      <c r="C1552" s="2" t="s">
        <v>2286</v>
      </c>
      <c r="D1552" s="2" t="s">
        <v>2287</v>
      </c>
      <c r="E1552" s="2" t="s">
        <v>2288</v>
      </c>
      <c r="F1552" s="2" t="s">
        <v>13</v>
      </c>
      <c r="G1552" s="2" t="s">
        <v>14</v>
      </c>
      <c r="H1552" s="4" t="str">
        <f>HYPERLINK("http://news.cyol.com/gb/articles/2025-01/22/content_4wgngRHWZP.html","http://news.cyol.com/gb/articles/2025-01/22/content_4wgngRHWZP.html")</f>
        <v>http://news.cyol.com/gb/articles/2025-01/22/content_4wgngRHWZP.html</v>
      </c>
      <c r="I1552" s="3" t="s">
        <v>2289</v>
      </c>
      <c r="J1552" t="s">
        <v>16</v>
      </c>
    </row>
    <row r="1553" ht="23" customHeight="1" spans="1:10">
      <c r="A1553" s="2">
        <v>1552</v>
      </c>
      <c r="B1553" s="3" t="s">
        <v>2285</v>
      </c>
      <c r="C1553" s="2" t="s">
        <v>2290</v>
      </c>
      <c r="D1553" s="2" t="s">
        <v>2287</v>
      </c>
      <c r="E1553" s="2" t="s">
        <v>2291</v>
      </c>
      <c r="F1553" s="2" t="s">
        <v>13</v>
      </c>
      <c r="G1553" s="2" t="s">
        <v>14</v>
      </c>
      <c r="H1553" s="4" t="str">
        <f>HYPERLINK("http://m.cyol.com/gb/articles/2025-01/22/content_4wgngRHWZP.html","http://m.cyol.com/gb/articles/2025-01/22/content_4wgngRHWZP.html")</f>
        <v>http://m.cyol.com/gb/articles/2025-01/22/content_4wgngRHWZP.html</v>
      </c>
      <c r="I1553" s="3" t="s">
        <v>2289</v>
      </c>
      <c r="J1553" t="s">
        <v>16</v>
      </c>
    </row>
    <row r="1554" ht="23" customHeight="1" spans="1:10">
      <c r="A1554" s="2">
        <v>1553</v>
      </c>
      <c r="B1554" s="3" t="s">
        <v>2285</v>
      </c>
      <c r="C1554" s="2" t="s">
        <v>2292</v>
      </c>
      <c r="D1554" s="2" t="s">
        <v>46</v>
      </c>
      <c r="E1554" s="2" t="s">
        <v>1129</v>
      </c>
      <c r="F1554" s="2" t="s">
        <v>37</v>
      </c>
      <c r="G1554" s="2" t="s">
        <v>14</v>
      </c>
      <c r="H1554" s="4" t="str">
        <f>HYPERLINK("https://3g.k.sohu.com/t/n857573244?serialId=24b39a6f61d18f6c2f3dbd525a4d2763&amp;showType=857573244","https://3g.k.sohu.com/t/n857573244?serialId=24b39a6f61d18f6c2f3dbd525a4d2763&amp;showType=857573244")</f>
        <v>https://3g.k.sohu.com/t/n857573244?serialId=24b39a6f61d18f6c2f3dbd525a4d2763&amp;showType=857573244</v>
      </c>
      <c r="I1554" s="3" t="s">
        <v>2293</v>
      </c>
      <c r="J1554" t="s">
        <v>16</v>
      </c>
    </row>
    <row r="1555" ht="23" customHeight="1" spans="1:10">
      <c r="A1555" s="2">
        <v>1554</v>
      </c>
      <c r="B1555" s="3" t="s">
        <v>2285</v>
      </c>
      <c r="C1555" s="2" t="s">
        <v>2292</v>
      </c>
      <c r="D1555" s="2" t="s">
        <v>46</v>
      </c>
      <c r="E1555" s="2" t="s">
        <v>1129</v>
      </c>
      <c r="F1555" s="2" t="s">
        <v>13</v>
      </c>
      <c r="G1555" s="2" t="s">
        <v>14</v>
      </c>
      <c r="H1555" s="4" t="str">
        <f>HYPERLINK("https://www.sohu.com/a/851734292_119038","https://www.sohu.com/a/851734292_119038")</f>
        <v>https://www.sohu.com/a/851734292_119038</v>
      </c>
      <c r="I1555" s="3" t="s">
        <v>2293</v>
      </c>
      <c r="J1555" t="s">
        <v>16</v>
      </c>
    </row>
    <row r="1556" ht="23" customHeight="1" spans="1:10">
      <c r="A1556" s="2">
        <v>1555</v>
      </c>
      <c r="B1556" s="3" t="s">
        <v>2285</v>
      </c>
      <c r="C1556" s="2" t="s">
        <v>2294</v>
      </c>
      <c r="D1556" s="2" t="s">
        <v>1129</v>
      </c>
      <c r="E1556" s="2" t="s">
        <v>1129</v>
      </c>
      <c r="F1556" s="2" t="s">
        <v>13</v>
      </c>
      <c r="G1556" s="2" t="s">
        <v>14</v>
      </c>
      <c r="H1556" s="4" t="str">
        <f>HYPERLINK("https://news.youth.cn/jsxw/202501/t20250122_15787439.htm","https://news.youth.cn/jsxw/202501/t20250122_15787439.htm")</f>
        <v>https://news.youth.cn/jsxw/202501/t20250122_15787439.htm</v>
      </c>
      <c r="I1556" s="3" t="s">
        <v>2295</v>
      </c>
      <c r="J1556" t="s">
        <v>16</v>
      </c>
    </row>
    <row r="1557" ht="23" customHeight="1" spans="1:10">
      <c r="A1557" s="2">
        <v>1556</v>
      </c>
      <c r="B1557" s="3" t="s">
        <v>2285</v>
      </c>
      <c r="C1557" s="2" t="s">
        <v>2294</v>
      </c>
      <c r="D1557" s="2" t="s">
        <v>1129</v>
      </c>
      <c r="E1557" s="2" t="s">
        <v>1129</v>
      </c>
      <c r="F1557" s="2" t="s">
        <v>13</v>
      </c>
      <c r="G1557" s="2" t="s">
        <v>14</v>
      </c>
      <c r="H1557" s="4" t="str">
        <f>HYPERLINK("http://news.youth.cn/jsxw/202501/t20250122_15787439.htm","http://news.youth.cn/jsxw/202501/t20250122_15787439.htm")</f>
        <v>http://news.youth.cn/jsxw/202501/t20250122_15787439.htm</v>
      </c>
      <c r="I1557" s="3" t="s">
        <v>2295</v>
      </c>
      <c r="J1557" t="s">
        <v>16</v>
      </c>
    </row>
    <row r="1558" ht="23" customHeight="1" spans="1:10">
      <c r="A1558" s="2">
        <v>1557</v>
      </c>
      <c r="B1558" s="3" t="s">
        <v>2296</v>
      </c>
      <c r="C1558" s="2" t="s">
        <v>2297</v>
      </c>
      <c r="D1558" s="2" t="s">
        <v>200</v>
      </c>
      <c r="E1558" s="2" t="s">
        <v>200</v>
      </c>
      <c r="F1558" s="2" t="s">
        <v>13</v>
      </c>
      <c r="G1558" s="2" t="s">
        <v>201</v>
      </c>
      <c r="H1558" s="4" t="str">
        <f>HYPERLINK("https://neimenggu.eol.cn/nmggd/202501/t20250114_2651191.shtml","https://neimenggu.eol.cn/nmggd/202501/t20250114_2651191.shtml")</f>
        <v>https://neimenggu.eol.cn/nmggd/202501/t20250114_2651191.shtml</v>
      </c>
      <c r="I1558" s="3" t="s">
        <v>2298</v>
      </c>
      <c r="J1558" t="s">
        <v>16</v>
      </c>
    </row>
    <row r="1559" ht="23" customHeight="1" spans="1:10">
      <c r="A1559" s="2">
        <v>1558</v>
      </c>
      <c r="B1559" s="3" t="s">
        <v>2299</v>
      </c>
      <c r="C1559" s="2" t="s">
        <v>2300</v>
      </c>
      <c r="D1559" s="2" t="s">
        <v>2301</v>
      </c>
      <c r="E1559" s="2" t="s">
        <v>2301</v>
      </c>
      <c r="F1559" s="2" t="s">
        <v>37</v>
      </c>
      <c r="G1559" s="2" t="s">
        <v>21</v>
      </c>
      <c r="H1559" s="4" t="str">
        <f>HYPERLINK("http://m.wenlvnews.com/p/741603.html","http://m.wenlvnews.com/p/741603.html")</f>
        <v>http://m.wenlvnews.com/p/741603.html</v>
      </c>
      <c r="I1559" s="3" t="s">
        <v>2302</v>
      </c>
      <c r="J1559" t="s">
        <v>16</v>
      </c>
    </row>
    <row r="1560" ht="23" customHeight="1" spans="1:10">
      <c r="A1560" s="2">
        <v>1559</v>
      </c>
      <c r="B1560" s="3" t="s">
        <v>2299</v>
      </c>
      <c r="C1560" s="2" t="s">
        <v>2303</v>
      </c>
      <c r="D1560" s="2" t="s">
        <v>2301</v>
      </c>
      <c r="E1560" s="2" t="s">
        <v>2301</v>
      </c>
      <c r="F1560" s="2" t="s">
        <v>13</v>
      </c>
      <c r="G1560" s="2" t="s">
        <v>21</v>
      </c>
      <c r="H1560" s="4" t="str">
        <f>HYPERLINK("http://www.wenlvnews.com/p/741603.html","http://www.wenlvnews.com/p/741603.html")</f>
        <v>http://www.wenlvnews.com/p/741603.html</v>
      </c>
      <c r="I1560" s="3" t="s">
        <v>2302</v>
      </c>
      <c r="J1560" t="s">
        <v>16</v>
      </c>
    </row>
    <row r="1561" ht="23" customHeight="1" spans="1:10">
      <c r="A1561" s="2">
        <v>1560</v>
      </c>
      <c r="B1561" s="3" t="s">
        <v>2304</v>
      </c>
      <c r="C1561" s="2" t="s">
        <v>2305</v>
      </c>
      <c r="D1561" s="2" t="s">
        <v>2306</v>
      </c>
      <c r="E1561" s="2" t="s">
        <v>2306</v>
      </c>
      <c r="F1561" s="2" t="s">
        <v>37</v>
      </c>
      <c r="G1561" s="2" t="s">
        <v>21</v>
      </c>
      <c r="H1561" s="4" t="str">
        <f>HYPERLINK("https://share.hntv.tv/news/0/1877272599652798466","https://share.hntv.tv/news/0/1877272599652798466")</f>
        <v>https://share.hntv.tv/news/0/1877272599652798466</v>
      </c>
      <c r="I1561" s="3" t="s">
        <v>2307</v>
      </c>
      <c r="J1561" t="s">
        <v>16</v>
      </c>
    </row>
    <row r="1562" ht="23" customHeight="1" spans="1:10">
      <c r="A1562" s="2">
        <v>1561</v>
      </c>
      <c r="B1562" s="3" t="s">
        <v>2308</v>
      </c>
      <c r="C1562" s="2" t="s">
        <v>2309</v>
      </c>
      <c r="D1562" s="2" t="s">
        <v>41</v>
      </c>
      <c r="E1562" s="2" t="s">
        <v>20</v>
      </c>
      <c r="F1562" s="2" t="s">
        <v>13</v>
      </c>
      <c r="G1562" s="2" t="s">
        <v>21</v>
      </c>
      <c r="H1562" s="4" t="str">
        <f>HYPERLINK("https://baijiahao.baidu.com/s?id=1820684039041792144","https://baijiahao.baidu.com/s?id=1820684039041792144")</f>
        <v>https://baijiahao.baidu.com/s?id=1820684039041792144</v>
      </c>
      <c r="I1562" s="3" t="s">
        <v>2310</v>
      </c>
      <c r="J1562" t="s">
        <v>16</v>
      </c>
    </row>
    <row r="1563" ht="23" customHeight="1" spans="1:10">
      <c r="A1563" s="2">
        <v>1562</v>
      </c>
      <c r="B1563" s="3" t="s">
        <v>2308</v>
      </c>
      <c r="C1563" s="2" t="s">
        <v>2311</v>
      </c>
      <c r="D1563" s="2" t="s">
        <v>11</v>
      </c>
      <c r="E1563" s="2" t="s">
        <v>20</v>
      </c>
      <c r="F1563" s="2" t="s">
        <v>13</v>
      </c>
      <c r="G1563" s="2" t="s">
        <v>21</v>
      </c>
      <c r="H1563" s="4" t="str">
        <f>HYPERLINK("https://www.toutiao.com/article/7457513553258037823/","https://www.toutiao.com/article/7457513553258037823/")</f>
        <v>https://www.toutiao.com/article/7457513553258037823/</v>
      </c>
      <c r="I1563" s="3" t="s">
        <v>2312</v>
      </c>
      <c r="J1563" t="s">
        <v>16</v>
      </c>
    </row>
    <row r="1564" ht="23" customHeight="1" spans="1:10">
      <c r="A1564" s="2">
        <v>1563</v>
      </c>
      <c r="B1564" s="3" t="s">
        <v>2308</v>
      </c>
      <c r="C1564" s="2" t="s">
        <v>2313</v>
      </c>
      <c r="D1564" s="2" t="s">
        <v>46</v>
      </c>
      <c r="E1564" s="2" t="s">
        <v>618</v>
      </c>
      <c r="F1564" s="2" t="s">
        <v>37</v>
      </c>
      <c r="G1564" s="2" t="s">
        <v>26</v>
      </c>
      <c r="H1564" s="4" t="str">
        <f>HYPERLINK("https://3g.k.sohu.com/t/n853700491?serialId=c40301a6ac4c7c6e543dbff3fbbc2d22&amp;showType=853700491","https://3g.k.sohu.com/t/n853700491?serialId=c40301a6ac4c7c6e543dbff3fbbc2d22&amp;showType=853700491")</f>
        <v>https://3g.k.sohu.com/t/n853700491?serialId=c40301a6ac4c7c6e543dbff3fbbc2d22&amp;showType=853700491</v>
      </c>
      <c r="I1564" s="3" t="s">
        <v>2314</v>
      </c>
      <c r="J1564" t="s">
        <v>16</v>
      </c>
    </row>
    <row r="1565" ht="23" customHeight="1" spans="1:10">
      <c r="A1565" s="2">
        <v>1564</v>
      </c>
      <c r="B1565" s="3" t="s">
        <v>2315</v>
      </c>
      <c r="C1565" s="2" t="s">
        <v>2316</v>
      </c>
      <c r="D1565" s="2" t="s">
        <v>440</v>
      </c>
      <c r="E1565" s="2" t="s">
        <v>440</v>
      </c>
      <c r="F1565" s="2" t="s">
        <v>13</v>
      </c>
      <c r="G1565" s="2" t="s">
        <v>441</v>
      </c>
      <c r="H1565" s="4" t="str">
        <f>HYPERLINK("https://edu.online.sh.cn/education/gb/content/2025-01/08/content_10275881.htm","https://edu.online.sh.cn/education/gb/content/2025-01/08/content_10275881.htm")</f>
        <v>https://edu.online.sh.cn/education/gb/content/2025-01/08/content_10275881.htm</v>
      </c>
      <c r="I1565" s="3" t="s">
        <v>2317</v>
      </c>
      <c r="J1565" t="s">
        <v>16</v>
      </c>
    </row>
    <row r="1566" ht="23" customHeight="1" spans="1:10">
      <c r="A1566" s="2">
        <v>1565</v>
      </c>
      <c r="B1566" s="3" t="s">
        <v>2315</v>
      </c>
      <c r="C1566" s="2" t="s">
        <v>2316</v>
      </c>
      <c r="D1566" s="2" t="s">
        <v>440</v>
      </c>
      <c r="E1566" s="2" t="s">
        <v>440</v>
      </c>
      <c r="F1566" s="2" t="s">
        <v>13</v>
      </c>
      <c r="G1566" s="2" t="s">
        <v>441</v>
      </c>
      <c r="H1566" s="4" t="str">
        <f>HYPERLINK("https://m.online.sh.cn/edu/content/2025-01/08/content_10275881.htm","https://m.online.sh.cn/edu/content/2025-01/08/content_10275881.htm")</f>
        <v>https://m.online.sh.cn/edu/content/2025-01/08/content_10275881.htm</v>
      </c>
      <c r="I1566" s="3" t="s">
        <v>2318</v>
      </c>
      <c r="J1566" t="s">
        <v>16</v>
      </c>
    </row>
    <row r="1567" ht="23" customHeight="1" spans="1:10">
      <c r="A1567" s="2">
        <v>1566</v>
      </c>
      <c r="B1567" s="3" t="s">
        <v>2319</v>
      </c>
      <c r="C1567" s="2" t="s">
        <v>2320</v>
      </c>
      <c r="D1567" s="2" t="s">
        <v>41</v>
      </c>
      <c r="E1567" s="2" t="s">
        <v>20</v>
      </c>
      <c r="F1567" s="2" t="s">
        <v>13</v>
      </c>
      <c r="G1567" s="2" t="s">
        <v>21</v>
      </c>
      <c r="H1567" s="4" t="str">
        <f>HYPERLINK("https://baijiahao.baidu.com/s?id=1820591454744202695","https://baijiahao.baidu.com/s?id=1820591454744202695")</f>
        <v>https://baijiahao.baidu.com/s?id=1820591454744202695</v>
      </c>
      <c r="I1567" s="3" t="s">
        <v>2321</v>
      </c>
      <c r="J1567" t="s">
        <v>16</v>
      </c>
    </row>
    <row r="1568" ht="23" customHeight="1" spans="1:10">
      <c r="A1568" s="2">
        <v>1567</v>
      </c>
      <c r="B1568" s="3" t="s">
        <v>2322</v>
      </c>
      <c r="C1568" s="2" t="s">
        <v>2323</v>
      </c>
      <c r="D1568" s="2" t="s">
        <v>11</v>
      </c>
      <c r="E1568" s="2" t="s">
        <v>20</v>
      </c>
      <c r="F1568" s="2" t="s">
        <v>13</v>
      </c>
      <c r="G1568" s="2" t="s">
        <v>21</v>
      </c>
      <c r="H1568" s="4" t="str">
        <f>HYPERLINK("https://www.toutiao.com/article/7457135251304645130/","https://www.toutiao.com/article/7457135251304645130/")</f>
        <v>https://www.toutiao.com/article/7457135251304645130/</v>
      </c>
      <c r="I1568" s="3" t="s">
        <v>2321</v>
      </c>
      <c r="J1568" t="s">
        <v>16</v>
      </c>
    </row>
    <row r="1569" ht="23" customHeight="1" spans="1:10">
      <c r="A1569" s="2">
        <v>1568</v>
      </c>
      <c r="B1569" s="3" t="s">
        <v>2315</v>
      </c>
      <c r="C1569" s="2" t="s">
        <v>2324</v>
      </c>
      <c r="D1569" s="2" t="s">
        <v>1110</v>
      </c>
      <c r="E1569" s="2" t="s">
        <v>1110</v>
      </c>
      <c r="F1569" s="2" t="s">
        <v>37</v>
      </c>
      <c r="G1569" s="2" t="s">
        <v>14</v>
      </c>
      <c r="H1569" s="4" t="str">
        <f>HYPERLINK("http://fx.xwapp.moe.gov.cn/article/202501/677cc1f895e2352a57702662.html","http://fx.xwapp.moe.gov.cn/article/202501/677cc1f895e2352a57702662.html")</f>
        <v>http://fx.xwapp.moe.gov.cn/article/202501/677cc1f895e2352a57702662.html</v>
      </c>
      <c r="I1569" s="3" t="s">
        <v>2325</v>
      </c>
      <c r="J1569" t="s">
        <v>16</v>
      </c>
    </row>
    <row r="1570" ht="23" customHeight="1" spans="1:10">
      <c r="A1570" s="2">
        <v>1569</v>
      </c>
      <c r="B1570" s="3" t="s">
        <v>2315</v>
      </c>
      <c r="C1570" s="2" t="s">
        <v>2326</v>
      </c>
      <c r="D1570" s="2" t="s">
        <v>41</v>
      </c>
      <c r="E1570" s="2" t="s">
        <v>20</v>
      </c>
      <c r="F1570" s="2" t="s">
        <v>13</v>
      </c>
      <c r="G1570" s="2" t="s">
        <v>21</v>
      </c>
      <c r="H1570" s="4" t="str">
        <f>HYPERLINK("https://baijiahao.baidu.com/s?id=1820568841203180109","https://baijiahao.baidu.com/s?id=1820568841203180109")</f>
        <v>https://baijiahao.baidu.com/s?id=1820568841203180109</v>
      </c>
      <c r="I1570" s="3" t="s">
        <v>2327</v>
      </c>
      <c r="J1570" t="s">
        <v>16</v>
      </c>
    </row>
    <row r="1571" ht="23" customHeight="1" spans="1:10">
      <c r="A1571" s="2">
        <v>1570</v>
      </c>
      <c r="B1571" s="3" t="s">
        <v>2315</v>
      </c>
      <c r="C1571" s="2" t="s">
        <v>2328</v>
      </c>
      <c r="D1571" s="2" t="s">
        <v>1251</v>
      </c>
      <c r="E1571" s="2" t="s">
        <v>1252</v>
      </c>
      <c r="F1571" s="2" t="s">
        <v>37</v>
      </c>
      <c r="G1571" s="2" t="s">
        <v>26</v>
      </c>
      <c r="H1571" s="4" t="str">
        <f>HYPERLINK("http://m.uczzd.cn/ucnews/news?aid=1563860350937980480","http://m.uczzd.cn/ucnews/news?aid=1563860350937980480")</f>
        <v>http://m.uczzd.cn/ucnews/news?aid=1563860350937980480</v>
      </c>
      <c r="I1571" s="3" t="s">
        <v>2329</v>
      </c>
      <c r="J1571" t="s">
        <v>16</v>
      </c>
    </row>
    <row r="1572" ht="23" customHeight="1" spans="1:10">
      <c r="A1572" s="2">
        <v>1571</v>
      </c>
      <c r="B1572" s="3" t="s">
        <v>2315</v>
      </c>
      <c r="C1572" s="2" t="s">
        <v>2330</v>
      </c>
      <c r="D1572" s="2" t="s">
        <v>11</v>
      </c>
      <c r="E1572" s="2" t="s">
        <v>20</v>
      </c>
      <c r="F1572" s="2" t="s">
        <v>13</v>
      </c>
      <c r="G1572" s="2" t="s">
        <v>21</v>
      </c>
      <c r="H1572" s="4" t="str">
        <f>HYPERLINK("https://www.toutiao.com/article/7457041777663099407/","https://www.toutiao.com/article/7457041777663099407/")</f>
        <v>https://www.toutiao.com/article/7457041777663099407/</v>
      </c>
      <c r="I1572" s="3" t="s">
        <v>2331</v>
      </c>
      <c r="J1572" t="s">
        <v>16</v>
      </c>
    </row>
    <row r="1573" ht="23" customHeight="1" spans="1:10">
      <c r="A1573" s="2">
        <v>1572</v>
      </c>
      <c r="B1573" s="3" t="s">
        <v>2315</v>
      </c>
      <c r="C1573" s="2" t="s">
        <v>2332</v>
      </c>
      <c r="D1573" s="2" t="s">
        <v>46</v>
      </c>
      <c r="E1573" s="2" t="s">
        <v>618</v>
      </c>
      <c r="F1573" s="2" t="s">
        <v>37</v>
      </c>
      <c r="G1573" s="2" t="s">
        <v>26</v>
      </c>
      <c r="H1573" s="4" t="str">
        <f>HYPERLINK("https://3g.k.sohu.com/t/n853237303?serialId=5bfed5ffbf5d3c97db311c55ff0d9be5&amp;showType=853237303","https://3g.k.sohu.com/t/n853237303?serialId=5bfed5ffbf5d3c97db311c55ff0d9be5&amp;showType=853237303")</f>
        <v>https://3g.k.sohu.com/t/n853237303?serialId=5bfed5ffbf5d3c97db311c55ff0d9be5&amp;showType=853237303</v>
      </c>
      <c r="I1573" s="3" t="s">
        <v>2333</v>
      </c>
      <c r="J1573" t="s">
        <v>16</v>
      </c>
    </row>
    <row r="1574" ht="23" customHeight="1" spans="1:10">
      <c r="A1574" s="2">
        <v>1573</v>
      </c>
      <c r="B1574" s="3" t="s">
        <v>2334</v>
      </c>
      <c r="C1574" s="2" t="s">
        <v>2335</v>
      </c>
      <c r="D1574" s="2" t="s">
        <v>1251</v>
      </c>
      <c r="E1574" s="2" t="s">
        <v>1252</v>
      </c>
      <c r="F1574" s="2" t="s">
        <v>37</v>
      </c>
      <c r="G1574" s="2" t="s">
        <v>26</v>
      </c>
      <c r="H1574" s="4" t="str">
        <f>HYPERLINK("http://m.uczzd.cn/ucnews/news?aid=14712872130325330825","http://m.uczzd.cn/ucnews/news?aid=14712872130325330825")</f>
        <v>http://m.uczzd.cn/ucnews/news?aid=14712872130325330825</v>
      </c>
      <c r="I1574" s="3" t="s">
        <v>2336</v>
      </c>
      <c r="J1574" t="s">
        <v>16</v>
      </c>
    </row>
    <row r="1575" ht="23" customHeight="1" spans="1:10">
      <c r="A1575" s="2">
        <v>1574</v>
      </c>
      <c r="B1575" s="3" t="s">
        <v>2334</v>
      </c>
      <c r="C1575" s="2" t="s">
        <v>2337</v>
      </c>
      <c r="D1575" s="2" t="s">
        <v>2338</v>
      </c>
      <c r="E1575" s="2" t="s">
        <v>2338</v>
      </c>
      <c r="F1575" s="2" t="s">
        <v>37</v>
      </c>
      <c r="G1575" s="2" t="s">
        <v>21</v>
      </c>
      <c r="H1575" s="4" t="str">
        <f>HYPERLINK("https://blxwnews.benliuxinwen.com/share/ArticleShare?ArticleId=2915196","https://blxwnews.benliuxinwen.com/share/ArticleShare?ArticleId=2915196")</f>
        <v>https://blxwnews.benliuxinwen.com/share/ArticleShare?ArticleId=2915196</v>
      </c>
      <c r="I1575" s="3" t="s">
        <v>2336</v>
      </c>
      <c r="J1575" t="s">
        <v>16</v>
      </c>
    </row>
    <row r="1576" ht="23" customHeight="1" spans="1:10">
      <c r="A1576" s="2">
        <v>1575</v>
      </c>
      <c r="B1576" s="3" t="s">
        <v>2334</v>
      </c>
      <c r="C1576" s="2" t="s">
        <v>2339</v>
      </c>
      <c r="D1576" s="2" t="s">
        <v>334</v>
      </c>
      <c r="E1576" s="2" t="s">
        <v>334</v>
      </c>
      <c r="F1576" s="2" t="s">
        <v>37</v>
      </c>
      <c r="G1576" s="2" t="s">
        <v>26</v>
      </c>
      <c r="H1576" s="4" t="str">
        <f>HYPERLINK("https://j.021east.com/m/1736144167044892","https://j.021east.com/m/1736144167044892")</f>
        <v>https://j.021east.com/m/1736144167044892</v>
      </c>
      <c r="I1576" s="3" t="s">
        <v>2336</v>
      </c>
      <c r="J1576" t="s">
        <v>16</v>
      </c>
    </row>
    <row r="1577" ht="23" customHeight="1" spans="1:10">
      <c r="A1577" s="2">
        <v>1576</v>
      </c>
      <c r="B1577" s="3" t="s">
        <v>2334</v>
      </c>
      <c r="C1577" s="2" t="s">
        <v>2339</v>
      </c>
      <c r="D1577" s="2" t="s">
        <v>71</v>
      </c>
      <c r="E1577" s="2" t="s">
        <v>71</v>
      </c>
      <c r="F1577" s="2" t="s">
        <v>13</v>
      </c>
      <c r="G1577" s="2" t="s">
        <v>21</v>
      </c>
      <c r="H1577" s="4" t="str">
        <f>HYPERLINK("https://j.eastday.com/p/1736144167044892","https://j.eastday.com/p/1736144167044892")</f>
        <v>https://j.eastday.com/p/1736144167044892</v>
      </c>
      <c r="I1577" s="3" t="s">
        <v>2336</v>
      </c>
      <c r="J1577" t="s">
        <v>16</v>
      </c>
    </row>
    <row r="1578" ht="23" customHeight="1" spans="1:10">
      <c r="A1578" s="2">
        <v>1577</v>
      </c>
      <c r="B1578" s="3" t="s">
        <v>2340</v>
      </c>
      <c r="C1578" s="2" t="s">
        <v>2341</v>
      </c>
      <c r="D1578" s="2" t="s">
        <v>2342</v>
      </c>
      <c r="E1578" s="2" t="s">
        <v>159</v>
      </c>
      <c r="F1578" s="2" t="s">
        <v>37</v>
      </c>
      <c r="G1578" s="2" t="s">
        <v>21</v>
      </c>
      <c r="H1578" s="4" t="str">
        <f>HYPERLINK("https://www.peopleapp.com/rmharticle/30047923219","https://www.peopleapp.com/rmharticle/30047923219")</f>
        <v>https://www.peopleapp.com/rmharticle/30047923219</v>
      </c>
      <c r="I1578" s="3" t="s">
        <v>2343</v>
      </c>
      <c r="J1578" t="s">
        <v>16</v>
      </c>
    </row>
    <row r="1579" ht="23" customHeight="1" spans="1:10">
      <c r="A1579" s="2">
        <v>1578</v>
      </c>
      <c r="B1579" s="3" t="s">
        <v>2340</v>
      </c>
      <c r="C1579" s="2" t="s">
        <v>2344</v>
      </c>
      <c r="D1579" s="2" t="s">
        <v>41</v>
      </c>
      <c r="E1579" s="2" t="s">
        <v>159</v>
      </c>
      <c r="F1579" s="2" t="s">
        <v>13</v>
      </c>
      <c r="G1579" s="2" t="s">
        <v>21</v>
      </c>
      <c r="H1579" s="4" t="str">
        <f>HYPERLINK("https://baijiahao.baidu.com/s?id=1820363433658172691","https://baijiahao.baidu.com/s?id=1820363433658172691")</f>
        <v>https://baijiahao.baidu.com/s?id=1820363433658172691</v>
      </c>
      <c r="I1579" s="3" t="s">
        <v>2345</v>
      </c>
      <c r="J1579" t="s">
        <v>16</v>
      </c>
    </row>
    <row r="1580" ht="23" customHeight="1" spans="1:10">
      <c r="A1580" s="2">
        <v>1579</v>
      </c>
      <c r="B1580" s="3" t="s">
        <v>2340</v>
      </c>
      <c r="C1580" s="2" t="s">
        <v>2346</v>
      </c>
      <c r="D1580" s="2" t="s">
        <v>11</v>
      </c>
      <c r="E1580" s="2" t="s">
        <v>159</v>
      </c>
      <c r="F1580" s="2" t="s">
        <v>13</v>
      </c>
      <c r="G1580" s="2" t="s">
        <v>21</v>
      </c>
      <c r="H1580" s="4" t="str">
        <f>HYPERLINK("https://www.toutiao.com/article/7456020764865643043/","https://www.toutiao.com/article/7456020764865643043/")</f>
        <v>https://www.toutiao.com/article/7456020764865643043/</v>
      </c>
      <c r="I1580" s="3" t="s">
        <v>2345</v>
      </c>
      <c r="J1580" t="s">
        <v>16</v>
      </c>
    </row>
    <row r="1581" ht="23" customHeight="1" spans="1:10">
      <c r="A1581" s="2">
        <v>1580</v>
      </c>
      <c r="B1581" s="3" t="s">
        <v>2340</v>
      </c>
      <c r="C1581" s="2" t="s">
        <v>2347</v>
      </c>
      <c r="D1581" s="2" t="s">
        <v>11</v>
      </c>
      <c r="E1581" s="2" t="s">
        <v>2348</v>
      </c>
      <c r="F1581" s="2" t="s">
        <v>13</v>
      </c>
      <c r="G1581" s="2" t="s">
        <v>26</v>
      </c>
      <c r="H1581" s="4" t="str">
        <f>HYPERLINK("https://www.toutiao.com/article/7456020797241442868/","https://www.toutiao.com/article/7456020797241442868/")</f>
        <v>https://www.toutiao.com/article/7456020797241442868/</v>
      </c>
      <c r="I1581" s="3" t="s">
        <v>2345</v>
      </c>
      <c r="J1581" t="s">
        <v>16</v>
      </c>
    </row>
    <row r="1582" ht="23" customHeight="1" spans="1:10">
      <c r="A1582" s="2">
        <v>1581</v>
      </c>
      <c r="B1582" s="3" t="s">
        <v>2340</v>
      </c>
      <c r="C1582" s="2" t="s">
        <v>2349</v>
      </c>
      <c r="D1582" s="2" t="s">
        <v>34</v>
      </c>
      <c r="E1582" s="2" t="s">
        <v>159</v>
      </c>
      <c r="F1582" s="2" t="s">
        <v>13</v>
      </c>
      <c r="G1582" s="2" t="s">
        <v>21</v>
      </c>
      <c r="H1582" s="4" t="str">
        <f>HYPERLINK("https://kandianshare.html5.qq.com/v2/news/3012045186615320898","https://kandianshare.html5.qq.com/v2/news/3012045186615320898")</f>
        <v>https://kandianshare.html5.qq.com/v2/news/3012045186615320898</v>
      </c>
      <c r="I1582" s="3" t="s">
        <v>2343</v>
      </c>
      <c r="J1582" t="s">
        <v>16</v>
      </c>
    </row>
    <row r="1583" ht="23" customHeight="1" spans="1:10">
      <c r="A1583" s="2">
        <v>1582</v>
      </c>
      <c r="B1583" s="3" t="s">
        <v>2340</v>
      </c>
      <c r="C1583" s="2" t="s">
        <v>2350</v>
      </c>
      <c r="D1583" s="2" t="s">
        <v>46</v>
      </c>
      <c r="E1583" s="2" t="s">
        <v>159</v>
      </c>
      <c r="F1583" s="2" t="s">
        <v>37</v>
      </c>
      <c r="G1583" s="2" t="s">
        <v>21</v>
      </c>
      <c r="H1583" s="4" t="str">
        <f>HYPERLINK("https://3g.k.sohu.com/t/n852511168?serialId=081d3fde0a5fabc15d842c693d2c1b81&amp;showType=852511168","https://3g.k.sohu.com/t/n852511168?serialId=081d3fde0a5fabc15d842c693d2c1b81&amp;showType=852511168")</f>
        <v>https://3g.k.sohu.com/t/n852511168?serialId=081d3fde0a5fabc15d842c693d2c1b81&amp;showType=852511168</v>
      </c>
      <c r="I1583" s="3" t="s">
        <v>2343</v>
      </c>
      <c r="J1583" t="s">
        <v>16</v>
      </c>
    </row>
    <row r="1584" ht="23" customHeight="1" spans="1:10">
      <c r="A1584" s="2">
        <v>1583</v>
      </c>
      <c r="B1584" s="3" t="s">
        <v>2340</v>
      </c>
      <c r="C1584" s="2" t="s">
        <v>2350</v>
      </c>
      <c r="D1584" s="2" t="s">
        <v>46</v>
      </c>
      <c r="E1584" s="2" t="s">
        <v>159</v>
      </c>
      <c r="F1584" s="2" t="s">
        <v>13</v>
      </c>
      <c r="G1584" s="2" t="s">
        <v>21</v>
      </c>
      <c r="H1584" s="4" t="str">
        <f>HYPERLINK("https://www.sohu.com/a/845347668_120044982","https://www.sohu.com/a/845347668_120044982")</f>
        <v>https://www.sohu.com/a/845347668_120044982</v>
      </c>
      <c r="I1584" s="3" t="s">
        <v>2345</v>
      </c>
      <c r="J1584" t="s">
        <v>16</v>
      </c>
    </row>
    <row r="1585" ht="23" customHeight="1" spans="1:10">
      <c r="A1585" s="2">
        <v>1584</v>
      </c>
      <c r="B1585" s="3" t="s">
        <v>2340</v>
      </c>
      <c r="C1585" s="2" t="s">
        <v>2351</v>
      </c>
      <c r="D1585" s="2" t="s">
        <v>19</v>
      </c>
      <c r="E1585" s="2" t="s">
        <v>32</v>
      </c>
      <c r="F1585" s="2" t="s">
        <v>37</v>
      </c>
      <c r="G1585" s="2" t="s">
        <v>21</v>
      </c>
      <c r="H1585" s="4" t="str">
        <f>HYPERLINK("https://c.m.163.com/news/a/JL2HUG8E0512DU6N.html","https://c.m.163.com/news/a/JL2HUG8E0512DU6N.html")</f>
        <v>https://c.m.163.com/news/a/JL2HUG8E0512DU6N.html</v>
      </c>
      <c r="I1585" s="3" t="s">
        <v>2352</v>
      </c>
      <c r="J1585" t="s">
        <v>16</v>
      </c>
    </row>
    <row r="1586" ht="23" customHeight="1" spans="1:10">
      <c r="A1586" s="2">
        <v>1585</v>
      </c>
      <c r="B1586" s="3" t="s">
        <v>2340</v>
      </c>
      <c r="C1586" s="2" t="s">
        <v>2353</v>
      </c>
      <c r="D1586" s="2" t="s">
        <v>11</v>
      </c>
      <c r="E1586" s="2" t="s">
        <v>32</v>
      </c>
      <c r="F1586" s="2" t="s">
        <v>13</v>
      </c>
      <c r="G1586" s="2" t="s">
        <v>21</v>
      </c>
      <c r="H1586" s="4" t="str">
        <f>HYPERLINK("https://www.toutiao.com/article/7455932165890277888/","https://www.toutiao.com/article/7455932165890277888/")</f>
        <v>https://www.toutiao.com/article/7455932165890277888/</v>
      </c>
      <c r="I1586" s="3" t="s">
        <v>2354</v>
      </c>
      <c r="J1586" t="s">
        <v>16</v>
      </c>
    </row>
    <row r="1587" ht="23" customHeight="1" spans="1:10">
      <c r="A1587" s="2">
        <v>1586</v>
      </c>
      <c r="B1587" s="3" t="s">
        <v>2340</v>
      </c>
      <c r="C1587" s="2" t="s">
        <v>2355</v>
      </c>
      <c r="D1587" s="2" t="s">
        <v>34</v>
      </c>
      <c r="E1587" s="2" t="s">
        <v>32</v>
      </c>
      <c r="F1587" s="2" t="s">
        <v>13</v>
      </c>
      <c r="G1587" s="2" t="s">
        <v>21</v>
      </c>
      <c r="H1587" s="4" t="str">
        <f>HYPERLINK("https://kandianshare.html5.qq.com/v2/news/4318089035376888130","https://kandianshare.html5.qq.com/v2/news/4318089035376888130")</f>
        <v>https://kandianshare.html5.qq.com/v2/news/4318089035376888130</v>
      </c>
      <c r="I1587" s="3" t="s">
        <v>2352</v>
      </c>
      <c r="J1587" t="s">
        <v>16</v>
      </c>
    </row>
    <row r="1588" ht="23" customHeight="1" spans="1:10">
      <c r="A1588" s="2">
        <v>1587</v>
      </c>
      <c r="B1588" s="3" t="s">
        <v>2340</v>
      </c>
      <c r="C1588" s="2" t="s">
        <v>2356</v>
      </c>
      <c r="D1588" s="2" t="s">
        <v>46</v>
      </c>
      <c r="E1588" s="2" t="s">
        <v>32</v>
      </c>
      <c r="F1588" s="2" t="s">
        <v>37</v>
      </c>
      <c r="G1588" s="2" t="s">
        <v>21</v>
      </c>
      <c r="H1588" s="4" t="str">
        <f>HYPERLINK("https://3g.k.sohu.com/t/n852442040?serialId=bb3d2e20b6726193e3b2810f644bc737&amp;showType=852442040","https://3g.k.sohu.com/t/n852442040?serialId=bb3d2e20b6726193e3b2810f644bc737&amp;showType=852442040")</f>
        <v>https://3g.k.sohu.com/t/n852442040?serialId=bb3d2e20b6726193e3b2810f644bc737&amp;showType=852442040</v>
      </c>
      <c r="I1588" s="3" t="s">
        <v>2357</v>
      </c>
      <c r="J1588" t="s">
        <v>16</v>
      </c>
    </row>
    <row r="1589" ht="23" customHeight="1" spans="1:10">
      <c r="A1589" s="2">
        <v>1588</v>
      </c>
      <c r="B1589" s="3" t="s">
        <v>2340</v>
      </c>
      <c r="C1589" s="2" t="s">
        <v>2356</v>
      </c>
      <c r="D1589" s="2" t="s">
        <v>46</v>
      </c>
      <c r="E1589" s="2" t="s">
        <v>32</v>
      </c>
      <c r="F1589" s="2" t="s">
        <v>13</v>
      </c>
      <c r="G1589" s="2" t="s">
        <v>21</v>
      </c>
      <c r="H1589" s="4" t="str">
        <f>HYPERLINK("https://www.sohu.com/a/845268929_121286085","https://www.sohu.com/a/845268929_121286085")</f>
        <v>https://www.sohu.com/a/845268929_121286085</v>
      </c>
      <c r="I1589" s="3" t="s">
        <v>2352</v>
      </c>
      <c r="J1589" t="s">
        <v>16</v>
      </c>
    </row>
    <row r="1590" ht="23" customHeight="1" spans="1:10">
      <c r="A1590" s="2">
        <v>1589</v>
      </c>
      <c r="B1590" s="3" t="s">
        <v>2340</v>
      </c>
      <c r="C1590" s="2" t="s">
        <v>2358</v>
      </c>
      <c r="D1590" s="2" t="s">
        <v>11</v>
      </c>
      <c r="E1590" s="2" t="s">
        <v>20</v>
      </c>
      <c r="F1590" s="2" t="s">
        <v>13</v>
      </c>
      <c r="G1590" s="2" t="s">
        <v>21</v>
      </c>
      <c r="H1590" s="4" t="str">
        <f>HYPERLINK("https://www.toutiao.com/article/7455907057209557545/","https://www.toutiao.com/article/7455907057209557545/")</f>
        <v>https://www.toutiao.com/article/7455907057209557545/</v>
      </c>
      <c r="I1590" s="3" t="s">
        <v>2354</v>
      </c>
      <c r="J1590" t="s">
        <v>16</v>
      </c>
    </row>
    <row r="1591" ht="23" customHeight="1" spans="1:10">
      <c r="A1591" s="2">
        <v>1590</v>
      </c>
      <c r="B1591" s="3" t="s">
        <v>2340</v>
      </c>
      <c r="C1591" s="2" t="s">
        <v>2359</v>
      </c>
      <c r="D1591" s="2" t="s">
        <v>43</v>
      </c>
      <c r="E1591" s="2" t="s">
        <v>43</v>
      </c>
      <c r="F1591" s="2" t="s">
        <v>37</v>
      </c>
      <c r="G1591" s="2" t="s">
        <v>21</v>
      </c>
      <c r="H1591" s="4" t="str">
        <f>HYPERLINK("https://export.shobserver.com/baijiahao/html/838955.html","https://export.shobserver.com/baijiahao/html/838955.html")</f>
        <v>https://export.shobserver.com/baijiahao/html/838955.html</v>
      </c>
      <c r="I1591" s="3" t="s">
        <v>2354</v>
      </c>
      <c r="J1591" t="s">
        <v>16</v>
      </c>
    </row>
    <row r="1592" ht="23" customHeight="1" spans="1:10">
      <c r="A1592" s="2">
        <v>1591</v>
      </c>
      <c r="B1592" s="3" t="s">
        <v>2334</v>
      </c>
      <c r="C1592" s="2" t="s">
        <v>2360</v>
      </c>
      <c r="D1592" s="2" t="s">
        <v>41</v>
      </c>
      <c r="E1592" s="2" t="s">
        <v>126</v>
      </c>
      <c r="F1592" s="2" t="s">
        <v>13</v>
      </c>
      <c r="G1592" s="2" t="s">
        <v>21</v>
      </c>
      <c r="H1592" s="4" t="str">
        <f>HYPERLINK("https://baijiahao.baidu.com/s?id=1820277000965829949","https://baijiahao.baidu.com/s?id=1820277000965829949")</f>
        <v>https://baijiahao.baidu.com/s?id=1820277000965829949</v>
      </c>
      <c r="I1592" s="3" t="s">
        <v>2361</v>
      </c>
      <c r="J1592" t="s">
        <v>16</v>
      </c>
    </row>
    <row r="1593" ht="23" customHeight="1" spans="1:10">
      <c r="A1593" s="2">
        <v>1592</v>
      </c>
      <c r="B1593" s="3" t="s">
        <v>2334</v>
      </c>
      <c r="C1593" s="2" t="s">
        <v>2362</v>
      </c>
      <c r="D1593" s="2" t="s">
        <v>81</v>
      </c>
      <c r="E1593" s="2" t="s">
        <v>81</v>
      </c>
      <c r="F1593" s="2" t="s">
        <v>13</v>
      </c>
      <c r="G1593" s="2" t="s">
        <v>21</v>
      </c>
      <c r="H1593" s="4" t="str">
        <f>HYPERLINK("https://www.thepaper.cn/newsDetail_forward_29843332","https://www.thepaper.cn/newsDetail_forward_29843332")</f>
        <v>https://www.thepaper.cn/newsDetail_forward_29843332</v>
      </c>
      <c r="I1593" s="3" t="s">
        <v>2361</v>
      </c>
      <c r="J1593" t="s">
        <v>16</v>
      </c>
    </row>
    <row r="1594" ht="23" customHeight="1" spans="1:10">
      <c r="A1594" s="2">
        <v>1593</v>
      </c>
      <c r="B1594" s="3" t="s">
        <v>2334</v>
      </c>
      <c r="C1594" s="2" t="s">
        <v>2363</v>
      </c>
      <c r="D1594" s="2" t="s">
        <v>81</v>
      </c>
      <c r="E1594" s="2" t="s">
        <v>925</v>
      </c>
      <c r="F1594" s="2" t="s">
        <v>37</v>
      </c>
      <c r="G1594" s="2" t="s">
        <v>21</v>
      </c>
      <c r="H1594" s="4" t="str">
        <f>HYPERLINK("https://m.thepaper.cn/newsDetail_forward_29843332","https://m.thepaper.cn/newsDetail_forward_29843332")</f>
        <v>https://m.thepaper.cn/newsDetail_forward_29843332</v>
      </c>
      <c r="I1594" s="3" t="s">
        <v>2361</v>
      </c>
      <c r="J1594" t="s">
        <v>16</v>
      </c>
    </row>
    <row r="1595" ht="23" customHeight="1" spans="1:10">
      <c r="A1595" s="2">
        <v>1594</v>
      </c>
      <c r="B1595" s="3" t="s">
        <v>2340</v>
      </c>
      <c r="C1595" s="2" t="s">
        <v>2364</v>
      </c>
      <c r="D1595" s="2" t="s">
        <v>334</v>
      </c>
      <c r="E1595" s="2" t="s">
        <v>334</v>
      </c>
      <c r="F1595" s="2" t="s">
        <v>37</v>
      </c>
      <c r="G1595" s="2" t="s">
        <v>26</v>
      </c>
      <c r="H1595" s="4" t="str">
        <f>HYPERLINK("https://j.021east.com/m/1735896256042881","https://j.021east.com/m/1735896256042881")</f>
        <v>https://j.021east.com/m/1735896256042881</v>
      </c>
      <c r="I1595" s="3" t="s">
        <v>2343</v>
      </c>
      <c r="J1595" t="s">
        <v>16</v>
      </c>
    </row>
    <row r="1596" ht="23" customHeight="1" spans="1:10">
      <c r="A1596" s="2">
        <v>1595</v>
      </c>
      <c r="B1596" s="3" t="s">
        <v>2340</v>
      </c>
      <c r="C1596" s="2" t="s">
        <v>2365</v>
      </c>
      <c r="D1596" s="2" t="s">
        <v>347</v>
      </c>
      <c r="E1596" s="2" t="s">
        <v>324</v>
      </c>
      <c r="F1596" s="2" t="s">
        <v>37</v>
      </c>
      <c r="G1596" s="2" t="s">
        <v>26</v>
      </c>
      <c r="H1596" s="4" t="str">
        <f>HYPERLINK("https://static.zhoudaosh.com/files/cnews/2025/20250103/BD3DB9092A497D2803206C8AA534B74978B78C10888330BFD4256F35DA6FB5C2/3.html","https://static.zhoudaosh.com/files/cnews/2025/20250103/BD3DB9092A497D2803206C8AA534B74978B78C10888330BFD4256F35DA6FB5C2/3.html")</f>
        <v>https://static.zhoudaosh.com/files/cnews/2025/20250103/BD3DB9092A497D2803206C8AA534B74978B78C10888330BFD4256F35DA6FB5C2/3.html</v>
      </c>
      <c r="I1596" s="3" t="s">
        <v>2343</v>
      </c>
      <c r="J1596" t="s">
        <v>16</v>
      </c>
    </row>
    <row r="1597" ht="23" customHeight="1" spans="1:10">
      <c r="A1597" s="2">
        <v>1596</v>
      </c>
      <c r="B1597" s="3" t="s">
        <v>2340</v>
      </c>
      <c r="C1597" s="2" t="s">
        <v>2366</v>
      </c>
      <c r="D1597" s="2" t="s">
        <v>41</v>
      </c>
      <c r="E1597" s="2" t="s">
        <v>20</v>
      </c>
      <c r="F1597" s="2" t="s">
        <v>13</v>
      </c>
      <c r="G1597" s="2" t="s">
        <v>21</v>
      </c>
      <c r="H1597" s="4" t="str">
        <f>HYPERLINK("https://baijiahao.baidu.com/s?id=1820202622906927934","https://baijiahao.baidu.com/s?id=1820202622906927934")</f>
        <v>https://baijiahao.baidu.com/s?id=1820202622906927934</v>
      </c>
      <c r="I1597" s="3" t="s">
        <v>2345</v>
      </c>
      <c r="J1597" t="s">
        <v>16</v>
      </c>
    </row>
    <row r="1598" ht="23" customHeight="1" spans="1:10">
      <c r="A1598" s="2">
        <v>1597</v>
      </c>
      <c r="B1598" s="3" t="s">
        <v>2340</v>
      </c>
      <c r="C1598" s="2" t="s">
        <v>2367</v>
      </c>
      <c r="D1598" s="2" t="s">
        <v>41</v>
      </c>
      <c r="E1598" s="2" t="s">
        <v>126</v>
      </c>
      <c r="F1598" s="2" t="s">
        <v>13</v>
      </c>
      <c r="G1598" s="2" t="s">
        <v>21</v>
      </c>
      <c r="H1598" s="4" t="str">
        <f>HYPERLINK("https://baijiahao.baidu.com/s?id=1820202091607212166","https://baijiahao.baidu.com/s?id=1820202091607212166")</f>
        <v>https://baijiahao.baidu.com/s?id=1820202091607212166</v>
      </c>
      <c r="I1598" s="3" t="s">
        <v>2345</v>
      </c>
      <c r="J1598" t="s">
        <v>16</v>
      </c>
    </row>
    <row r="1599" ht="23" customHeight="1" spans="1:10">
      <c r="A1599" s="2">
        <v>1598</v>
      </c>
      <c r="B1599" s="3" t="s">
        <v>2340</v>
      </c>
      <c r="C1599" s="2" t="s">
        <v>2368</v>
      </c>
      <c r="D1599" s="2" t="s">
        <v>11</v>
      </c>
      <c r="E1599" s="2" t="s">
        <v>20</v>
      </c>
      <c r="F1599" s="2" t="s">
        <v>13</v>
      </c>
      <c r="G1599" s="2" t="s">
        <v>21</v>
      </c>
      <c r="H1599" s="4" t="str">
        <f>HYPERLINK("https://www.toutiao.com/article/7455541999731507750/","https://www.toutiao.com/article/7455541999731507750/")</f>
        <v>https://www.toutiao.com/article/7455541999731507750/</v>
      </c>
      <c r="I1599" s="3" t="s">
        <v>2345</v>
      </c>
      <c r="J1599" t="s">
        <v>16</v>
      </c>
    </row>
    <row r="1600" ht="23" customHeight="1" spans="1:10">
      <c r="A1600" s="2">
        <v>1599</v>
      </c>
      <c r="B1600" s="3" t="s">
        <v>2340</v>
      </c>
      <c r="C1600" s="2" t="s">
        <v>2369</v>
      </c>
      <c r="D1600" s="2" t="s">
        <v>81</v>
      </c>
      <c r="E1600" s="2" t="s">
        <v>81</v>
      </c>
      <c r="F1600" s="2" t="s">
        <v>13</v>
      </c>
      <c r="G1600" s="2" t="s">
        <v>21</v>
      </c>
      <c r="H1600" s="4" t="str">
        <f>HYPERLINK("https://www.thepaper.cn/newsDetail_forward_29835187","https://www.thepaper.cn/newsDetail_forward_29835187")</f>
        <v>https://www.thepaper.cn/newsDetail_forward_29835187</v>
      </c>
      <c r="I1600" s="3" t="s">
        <v>2343</v>
      </c>
      <c r="J1600" t="s">
        <v>16</v>
      </c>
    </row>
    <row r="1601" ht="23" customHeight="1" spans="1:10">
      <c r="A1601" s="2">
        <v>1600</v>
      </c>
      <c r="B1601" s="3" t="s">
        <v>2340</v>
      </c>
      <c r="C1601" s="2" t="s">
        <v>2370</v>
      </c>
      <c r="D1601" s="2" t="s">
        <v>81</v>
      </c>
      <c r="E1601" s="2" t="s">
        <v>925</v>
      </c>
      <c r="F1601" s="2" t="s">
        <v>37</v>
      </c>
      <c r="G1601" s="2" t="s">
        <v>21</v>
      </c>
      <c r="H1601" s="4" t="str">
        <f>HYPERLINK("https://m.thepaper.cn/newsDetail_forward_29835187","https://m.thepaper.cn/newsDetail_forward_29835187")</f>
        <v>https://m.thepaper.cn/newsDetail_forward_29835187</v>
      </c>
      <c r="I1601" s="3" t="s">
        <v>2343</v>
      </c>
      <c r="J1601" t="s">
        <v>16</v>
      </c>
    </row>
    <row r="1602" ht="23" customHeight="1" spans="1:10">
      <c r="A1602" s="2">
        <v>1601</v>
      </c>
      <c r="B1602" s="3" t="s">
        <v>2340</v>
      </c>
      <c r="C1602" s="2" t="s">
        <v>2370</v>
      </c>
      <c r="D1602" s="2" t="s">
        <v>46</v>
      </c>
      <c r="E1602" s="2" t="s">
        <v>324</v>
      </c>
      <c r="F1602" s="2" t="s">
        <v>37</v>
      </c>
      <c r="G1602" s="2" t="s">
        <v>26</v>
      </c>
      <c r="H1602" s="4" t="str">
        <f>HYPERLINK("https://3g.k.sohu.com/t/n852093304?serialId=fedfc796e6d19ca4c9a4a2e84f3c0350&amp;showType=852093304","https://3g.k.sohu.com/t/n852093304?serialId=fedfc796e6d19ca4c9a4a2e84f3c0350&amp;showType=852093304")</f>
        <v>https://3g.k.sohu.com/t/n852093304?serialId=fedfc796e6d19ca4c9a4a2e84f3c0350&amp;showType=852093304</v>
      </c>
      <c r="I1602" s="3" t="s">
        <v>2343</v>
      </c>
      <c r="J1602" t="s">
        <v>16</v>
      </c>
    </row>
  </sheetData>
  <autoFilter xmlns:etc="http://www.wps.cn/officeDocument/2017/etCustomData" ref="A1:J1602" etc:filterBottomFollowUsedRange="0">
    <sortState ref="A1:J1602">
      <sortCondition ref="C1" descending="1"/>
    </sortState>
    <extLst/>
  </autoFilter>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信息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陈中文</cp:lastModifiedBy>
  <dcterms:created xsi:type="dcterms:W3CDTF">2025-12-24T12:35:00Z</dcterms:created>
  <dcterms:modified xsi:type="dcterms:W3CDTF">2025-12-31T01:13:32Z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1DC65BAB8AC04F7B9023F1D1AAF147EE_12</vt:lpwstr>
  </property>
  <property fmtid="{D5CDD505-2E9C-101B-9397-08002B2CF9AE}" pid="3" name="KSOProductBuildVer">
    <vt:lpwstr>2052-12.1.0.24034</vt:lpwstr>
  </property>
  <property fmtid="{D5CDD505-2E9C-101B-9397-08002B2CF9AE}" pid="4" name="CalculationRule">
    <vt:i4>0</vt:i4>
  </property>
</Properties>
</file>